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\"/>
    </mc:Choice>
  </mc:AlternateContent>
  <xr:revisionPtr revIDLastSave="0" documentId="13_ncr:1_{44FFCE86-B811-4C70-A6BC-CCC509A53CE6}" xr6:coauthVersionLast="37" xr6:coauthVersionMax="37" xr10:uidLastSave="{00000000-0000-0000-0000-000000000000}"/>
  <bookViews>
    <workbookView xWindow="0" yWindow="0" windowWidth="20400" windowHeight="6645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5" i="2" l="1"/>
  <c r="AJ26" i="8" l="1"/>
  <c r="AI26" i="8" l="1"/>
  <c r="AJ25" i="2" l="1"/>
  <c r="AI25" i="2" l="1"/>
  <c r="B25" i="2" l="1"/>
  <c r="C25" i="2"/>
  <c r="D25" i="2"/>
  <c r="E25" i="2"/>
  <c r="F25" i="2"/>
  <c r="G25" i="2"/>
  <c r="H25" i="2"/>
  <c r="AH25" i="2" l="1"/>
  <c r="AF25" i="2"/>
  <c r="AE25" i="2"/>
  <c r="AD25" i="2"/>
  <c r="AC25" i="2"/>
  <c r="AB25" i="2"/>
  <c r="AA25" i="2"/>
  <c r="Z25" i="2"/>
  <c r="AH26" i="8"/>
  <c r="AG26" i="8"/>
  <c r="AF26" i="8"/>
  <c r="AE26" i="8"/>
  <c r="AD26" i="8"/>
  <c r="AC26" i="8"/>
  <c r="AB26" i="8"/>
  <c r="AA26" i="8"/>
  <c r="Z26" i="8"/>
  <c r="T25" i="2" l="1"/>
  <c r="Y26" i="8" l="1"/>
  <c r="X26" i="8"/>
  <c r="W26" i="8"/>
  <c r="V26" i="8"/>
  <c r="U26" i="8"/>
  <c r="T26" i="8"/>
  <c r="S26" i="8"/>
  <c r="R26" i="8"/>
  <c r="Q26" i="8"/>
  <c r="P26" i="8"/>
  <c r="O26" i="8"/>
  <c r="N26" i="8"/>
  <c r="Y25" i="2" l="1"/>
  <c r="X25" i="2"/>
  <c r="W25" i="2"/>
  <c r="V25" i="2"/>
  <c r="U25" i="2"/>
  <c r="S25" i="2"/>
  <c r="R25" i="2"/>
  <c r="Q25" i="2"/>
  <c r="P25" i="2"/>
  <c r="O25" i="2"/>
  <c r="N25" i="2"/>
  <c r="M26" i="8" l="1"/>
  <c r="L26" i="8"/>
  <c r="K26" i="8"/>
  <c r="J26" i="8"/>
  <c r="I26" i="8"/>
  <c r="H26" i="8"/>
  <c r="G26" i="8"/>
  <c r="F26" i="8"/>
  <c r="E26" i="8"/>
  <c r="D26" i="8"/>
  <c r="C26" i="8"/>
  <c r="B26" i="8"/>
  <c r="M25" i="2" l="1"/>
  <c r="L25" i="2"/>
  <c r="K25" i="2"/>
  <c r="J25" i="2"/>
  <c r="I25" i="2"/>
</calcChain>
</file>

<file path=xl/sharedStrings.xml><?xml version="1.0" encoding="utf-8"?>
<sst xmlns="http://schemas.openxmlformats.org/spreadsheetml/2006/main" count="275" uniqueCount="104">
  <si>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</si>
  <si>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</si>
  <si>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</si>
  <si>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</si>
  <si>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</si>
  <si>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</si>
  <si>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</si>
  <si>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</si>
  <si>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</si>
  <si>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</si>
  <si>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</si>
  <si>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</si>
  <si>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</si>
  <si>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</si>
  <si>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</si>
  <si>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</si>
  <si>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</si>
  <si>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</si>
  <si>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</si>
  <si>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</si>
  <si>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</si>
  <si>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</si>
  <si>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</si>
  <si>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</si>
  <si>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</si>
  <si>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</si>
  <si>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</si>
  <si>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</si>
  <si>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</si>
  <si>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</si>
  <si>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</si>
  <si>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</si>
  <si>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</si>
  <si>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</si>
  <si>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</si>
  <si>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</si>
  <si>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</si>
  <si>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</si>
  <si>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</si>
  <si>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</si>
  <si>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</si>
  <si>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</si>
  <si>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Republica Cehă</t>
  </si>
  <si>
    <t>Belarus</t>
  </si>
  <si>
    <t>Ungaria</t>
  </si>
  <si>
    <t>Spania</t>
  </si>
  <si>
    <t>Bulgaria</t>
  </si>
  <si>
    <t>Olanda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</si>
  <si>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</si>
  <si>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</si>
  <si>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</si>
  <si>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</si>
  <si>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</si>
  <si>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</si>
  <si>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</si>
  <si>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</si>
  <si>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</si>
  <si>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</si>
  <si>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</si>
  <si>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</si>
  <si>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</si>
  <si>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</si>
  <si>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</si>
  <si>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</si>
  <si>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</si>
  <si>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</si>
  <si>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</si>
  <si>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</si>
  <si>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</si>
  <si>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</si>
  <si>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</si>
  <si>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</si>
  <si>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</si>
  <si>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</si>
  <si>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</si>
  <si>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secțiuni de mărfuri (%)</t>
    </r>
  </si>
  <si>
    <t>Grecia</t>
  </si>
  <si>
    <t>Japonia</t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</si>
  <si>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2016-2021 (milioane dolari SUA)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</si>
  <si>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2019-2021 (%)</t>
    </r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</si>
  <si>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2016-2021 (milioane dolari SUA)</t>
    </r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</si>
  <si>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secțiuni de mărfuri (%)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</si>
  <si>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2019-2021 (%)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</si>
  <si>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2016-2021 (milioane dolari SUA)</t>
    </r>
  </si>
  <si>
    <t>Liban</t>
  </si>
  <si>
    <t>S.U.A.</t>
  </si>
  <si>
    <t>Federația Rusă</t>
  </si>
  <si>
    <t>Elveția</t>
  </si>
  <si>
    <t>Franța</t>
  </si>
  <si>
    <t>Ianuarie - noiembrie 2021</t>
  </si>
  <si>
    <t>Ianuarie - noiembrie 2020</t>
  </si>
  <si>
    <t>Ianuarie - noiembrie 2019</t>
  </si>
  <si>
    <t>Ianuarie - noiembrie 2018</t>
  </si>
  <si>
    <t>Ianuarie - noiembrie 2017</t>
  </si>
  <si>
    <t>Ianuarie - noiembrie 2016</t>
  </si>
  <si>
    <t xml:space="preserve"> Ianuarie - noiembrie 2016</t>
  </si>
  <si>
    <t xml:space="preserve"> Ianuarie - noiembrie 2019</t>
  </si>
  <si>
    <r>
      <rPr>
        <b/>
        <sz val="9"/>
        <color rgb="FF000000"/>
        <rFont val="Arial"/>
        <family val="2"/>
        <charset val="204"/>
      </rPr>
      <t>Figura 14.</t>
    </r>
    <r>
      <rPr>
        <b/>
        <i/>
        <sz val="9"/>
        <color indexed="8"/>
        <rFont val="Arial"/>
        <family val="2"/>
        <charset val="204"/>
      </rPr>
      <t xml:space="preserve"> Tendinţele comerţului internaţional cu mărfuri, în ianuarie-noiembrie 2016-2021 (milioane dolari SUA)</t>
    </r>
  </si>
  <si>
    <r>
      <t xml:space="preserve">Figura 11. </t>
    </r>
    <r>
      <rPr>
        <b/>
        <i/>
        <sz val="9"/>
        <color rgb="FF000000"/>
        <rFont val="Arial"/>
        <family val="2"/>
        <charset val="204"/>
      </rPr>
      <t>Structura importurilor, în ianuarie-noiembrie 2016-2021, pe principalele ţări de origine a mărfurilor (%)</t>
    </r>
  </si>
  <si>
    <r>
      <t xml:space="preserve">    Figura 10.</t>
    </r>
    <r>
      <rPr>
        <b/>
        <i/>
        <sz val="9"/>
        <color theme="1"/>
        <rFont val="Arial"/>
        <family val="2"/>
        <charset val="204"/>
      </rPr>
      <t xml:space="preserve"> Structura importurilor de mărfuri, în ianuarie-noiembrie 2016-2021, pe grupe de ţări (%)</t>
    </r>
  </si>
  <si>
    <r>
      <t xml:space="preserve">Figura 9. </t>
    </r>
    <r>
      <rPr>
        <b/>
        <i/>
        <sz val="9"/>
        <color rgb="FF000000"/>
        <rFont val="Arial"/>
        <family val="2"/>
        <charset val="204"/>
      </rPr>
      <t>Structura importurilor de mărfuri, în ianuarie-noiembrie 2016-2021, după modul de transport (%)</t>
    </r>
  </si>
  <si>
    <r>
      <rPr>
        <b/>
        <sz val="9"/>
        <color rgb="FF000000"/>
        <rFont val="Arial"/>
        <family val="2"/>
        <charset val="204"/>
      </rPr>
      <t xml:space="preserve">Figura 5. </t>
    </r>
    <r>
      <rPr>
        <b/>
        <i/>
        <sz val="9"/>
        <color indexed="8"/>
        <rFont val="Arial"/>
        <family val="2"/>
        <charset val="204"/>
      </rPr>
      <t>Structura exporturilor, în ianuarie-noiembrie 2016-2021, pe principalele ţări de destinaţie a mărfurilor (%)</t>
    </r>
  </si>
  <si>
    <r>
      <rPr>
        <b/>
        <sz val="9"/>
        <color rgb="FF000000"/>
        <rFont val="Arial"/>
        <family val="2"/>
        <charset val="204"/>
      </rPr>
      <t xml:space="preserve">Figura 4. </t>
    </r>
    <r>
      <rPr>
        <b/>
        <i/>
        <sz val="9"/>
        <color indexed="8"/>
        <rFont val="Arial"/>
        <family val="2"/>
        <charset val="204"/>
      </rPr>
      <t>Structura exporturilor de mărfuri, în ianuarie-noiembrie 2016-2021, pe grupe de ţări (%)</t>
    </r>
  </si>
  <si>
    <r>
      <rPr>
        <b/>
        <sz val="9"/>
        <color rgb="FF000000"/>
        <rFont val="Arial"/>
        <family val="2"/>
        <charset val="204"/>
      </rPr>
      <t>Figura 3.</t>
    </r>
    <r>
      <rPr>
        <b/>
        <i/>
        <sz val="9"/>
        <color indexed="8"/>
        <rFont val="Arial"/>
        <family val="2"/>
        <charset val="204"/>
      </rPr>
      <t xml:space="preserve"> Structura exporturilor de mărfuri, în ianuarie-noiembrie 2016-2021, după modul de transport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</si>
</sst>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left" wrapText="1" indent="1"/>
    </xf>
    <xf numFmtId="38" fontId="4" fillId="0" borderId="13" xfId="0" applyNumberFormat="1" applyFont="1" applyFill="1" applyBorder="1" applyAlignment="1" applyProtection="1">
      <alignment horizontal="left" wrapText="1" indent="1"/>
    </xf>
    <xf numFmtId="38" fontId="4" fillId="0" borderId="8" xfId="0" applyNumberFormat="1" applyFont="1" applyFill="1" applyBorder="1" applyAlignment="1" applyProtection="1">
      <alignment horizontal="left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165" fontId="4" fillId="0" borderId="11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38" fontId="6" fillId="0" borderId="0" xfId="0" applyNumberFormat="1" applyFont="1" applyFill="1" applyBorder="1" applyAlignment="1" applyProtection="1">
      <alignment horizontal="left" wrapText="1"/>
    </xf>
    <xf numFmtId="38" fontId="6" fillId="0" borderId="3" xfId="0" applyNumberFormat="1" applyFont="1" applyFill="1" applyBorder="1" applyAlignment="1" applyProtection="1">
      <alignment horizontal="left" wrapText="1"/>
    </xf>
    <xf numFmtId="38" fontId="6" fillId="0" borderId="2" xfId="0" applyNumberFormat="1" applyFont="1" applyFill="1" applyBorder="1" applyAlignment="1" applyProtection="1">
      <alignment horizontal="left" wrapText="1"/>
    </xf>
    <xf numFmtId="164" fontId="1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top"/>
    </xf>
    <xf numFmtId="164" fontId="4" fillId="0" borderId="3" xfId="0" applyNumberFormat="1" applyFont="1" applyFill="1" applyBorder="1" applyAlignment="1" applyProtection="1">
      <alignment horizontal="right"/>
    </xf>
    <xf numFmtId="164" fontId="4" fillId="0" borderId="6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/>
  </cellXfs>
  <cellStyles count="2">
    <cellStyle name="Normal" xfId="0" builtinId="0"/>
    <cellStyle name="Normal 2" xfId="1" xr:uid="{00000000-0005-0000-0000-00000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1'!$B$21:$B$26</c:f>
              <c:numCache>
                <c:formatCode>#\ ##0,0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1'!$C$21:$C$26</c:f>
              <c:numCache>
                <c:formatCode>#\ ##0,0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1'!$D$21:$D$26</c:f>
              <c:numCache>
                <c:formatCode>#\ ##0,0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1'!$E$21:$E$26</c:f>
              <c:numCache>
                <c:formatCode>#\ ##0,0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  <c:pt idx="5">
                  <c:v>218.2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1'!$F$21:$F$26</c:f>
              <c:numCache>
                <c:formatCode>#\ ##0,0</c:formatCode>
                <c:ptCount val="6"/>
                <c:pt idx="0">
                  <c:v>153</c:v>
                </c:pt>
                <c:pt idx="1">
                  <c:v>174.7</c:v>
                </c:pt>
                <c:pt idx="2">
                  <c:v>223</c:v>
                </c:pt>
                <c:pt idx="3">
                  <c:v>210.5</c:v>
                </c:pt>
                <c:pt idx="4">
                  <c:v>155.69999999999999</c:v>
                </c:pt>
                <c:pt idx="5">
                  <c:v>201.7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1'!$G$21:$G$26</c:f>
              <c:numCache>
                <c:formatCode>#\ ##0,0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  <c:pt idx="5">
                  <c:v>226.8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1'!$H$21:$H$26</c:f>
              <c:numCache>
                <c:formatCode>#\ ##0,0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191.1</c:v>
                </c:pt>
                <c:pt idx="5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1'!$I$21:$I$26</c:f>
              <c:numCache>
                <c:formatCode>#\ ##0,0</c:formatCode>
                <c:ptCount val="6"/>
                <c:pt idx="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  <c:pt idx="5">
                  <c:v>236.2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1'!$J$21:$J$26</c:f>
              <c:numCache>
                <c:formatCode>#\ ##0,0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  <c:pt idx="5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1'!$K$21:$K$26</c:f>
              <c:numCache>
                <c:formatCode>#\ ##0,0</c:formatCode>
                <c:ptCount val="6"/>
                <c:pt idx="0">
                  <c:v>200.8</c:v>
                </c:pt>
                <c:pt idx="1">
                  <c:v>268.2</c:v>
                </c:pt>
                <c:pt idx="2">
                  <c:v>259</c:v>
                </c:pt>
                <c:pt idx="3">
                  <c:v>268.3</c:v>
                </c:pt>
                <c:pt idx="4">
                  <c:v>249.4</c:v>
                </c:pt>
                <c:pt idx="5">
                  <c:v>352.3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1'!$L$21:$L$26</c:f>
              <c:numCache>
                <c:formatCode>#\ ##0,0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  <c:pt idx="5">
                  <c:v>363.9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1'!$M$21:$M$26</c:f>
              <c:numCache>
                <c:formatCode>#\ ##0,0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4396720"/>
        <c:axId val="184397280"/>
      </c:barChart>
      <c:catAx>
        <c:axId val="18439672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397280"/>
        <c:crosses val="autoZero"/>
        <c:auto val="0"/>
        <c:lblAlgn val="ctr"/>
        <c:lblOffset val="100"/>
        <c:tickLblSkip val="1"/>
        <c:noMultiLvlLbl val="0"/>
      </c:catAx>
      <c:valAx>
        <c:axId val="18439728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39672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 - noiembrie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0,0</c:formatCode>
                <c:ptCount val="7"/>
                <c:pt idx="0">
                  <c:v>3.3</c:v>
                </c:pt>
                <c:pt idx="1">
                  <c:v>4.5999999999999996</c:v>
                </c:pt>
                <c:pt idx="2">
                  <c:v>84.3</c:v>
                </c:pt>
                <c:pt idx="3">
                  <c:v>2.4</c:v>
                </c:pt>
                <c:pt idx="4">
                  <c:v>0.2</c:v>
                </c:pt>
                <c:pt idx="5">
                  <c:v>4.5999999999999996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 - noiembrie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0,0</c:formatCode>
                <c:ptCount val="7"/>
                <c:pt idx="0">
                  <c:v>1.5</c:v>
                </c:pt>
                <c:pt idx="1">
                  <c:v>4.5999999999999996</c:v>
                </c:pt>
                <c:pt idx="2">
                  <c:v>87.7</c:v>
                </c:pt>
                <c:pt idx="3">
                  <c:v>2.2999999999999998</c:v>
                </c:pt>
                <c:pt idx="4">
                  <c:v>0.2</c:v>
                </c:pt>
                <c:pt idx="5">
                  <c:v>3.1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 - noiembrie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0,0</c:formatCode>
                <c:ptCount val="7"/>
                <c:pt idx="0">
                  <c:v>2.1</c:v>
                </c:pt>
                <c:pt idx="1">
                  <c:v>4.7</c:v>
                </c:pt>
                <c:pt idx="2">
                  <c:v>84.9</c:v>
                </c:pt>
                <c:pt idx="3">
                  <c:v>2.7</c:v>
                </c:pt>
                <c:pt idx="4">
                  <c:v>0.2</c:v>
                </c:pt>
                <c:pt idx="5">
                  <c:v>4.7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 - noiembrie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0,0</c:formatCode>
                <c:ptCount val="7"/>
                <c:pt idx="0">
                  <c:v>2.9</c:v>
                </c:pt>
                <c:pt idx="1">
                  <c:v>5.9</c:v>
                </c:pt>
                <c:pt idx="2">
                  <c:v>83.1</c:v>
                </c:pt>
                <c:pt idx="3">
                  <c:v>2.6</c:v>
                </c:pt>
                <c:pt idx="4">
                  <c:v>0.2</c:v>
                </c:pt>
                <c:pt idx="5">
                  <c:v>4.7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 - noiembrie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0,0</c:formatCode>
                <c:ptCount val="7"/>
                <c:pt idx="0">
                  <c:v>2.8</c:v>
                </c:pt>
                <c:pt idx="1">
                  <c:v>5.7</c:v>
                </c:pt>
                <c:pt idx="2">
                  <c:v>83.5</c:v>
                </c:pt>
                <c:pt idx="3">
                  <c:v>2.6</c:v>
                </c:pt>
                <c:pt idx="4">
                  <c:v>0.3</c:v>
                </c:pt>
                <c:pt idx="5">
                  <c:v>4.5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 - noiembrie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0,0</c:formatCode>
                <c:ptCount val="7"/>
                <c:pt idx="0">
                  <c:v>2.7</c:v>
                </c:pt>
                <c:pt idx="1">
                  <c:v>5.7</c:v>
                </c:pt>
                <c:pt idx="2">
                  <c:v>83.3</c:v>
                </c:pt>
                <c:pt idx="3">
                  <c:v>1.9</c:v>
                </c:pt>
                <c:pt idx="4">
                  <c:v>1</c:v>
                </c:pt>
                <c:pt idx="5">
                  <c:v>4.7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323280"/>
        <c:axId val="187323840"/>
      </c:barChart>
      <c:catAx>
        <c:axId val="18732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323840"/>
        <c:crossesAt val="0"/>
        <c:auto val="1"/>
        <c:lblAlgn val="ctr"/>
        <c:lblOffset val="100"/>
        <c:noMultiLvlLbl val="0"/>
      </c:catAx>
      <c:valAx>
        <c:axId val="187323840"/>
        <c:scaling>
          <c:orientation val="minMax"/>
          <c:max val="10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323280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6219641409"/>
          <c:y val="0.88493539593724413"/>
          <c:w val="0.84362058328366329"/>
          <c:h val="0.1134462533019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10'!$B$23:$G$23</c:f>
              <c:numCache>
                <c:formatCode>General</c:formatCode>
                <c:ptCount val="6"/>
                <c:pt idx="0">
                  <c:v>47.9</c:v>
                </c:pt>
                <c:pt idx="1">
                  <c:v>48.6</c:v>
                </c:pt>
                <c:pt idx="2">
                  <c:v>48.8</c:v>
                </c:pt>
                <c:pt idx="3">
                  <c:v>48.8</c:v>
                </c:pt>
                <c:pt idx="4">
                  <c:v>45.9</c:v>
                </c:pt>
                <c:pt idx="5" formatCode="0,0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10'!$B$24:$G$24</c:f>
              <c:numCache>
                <c:formatCode>General</c:formatCode>
                <c:ptCount val="6"/>
                <c:pt idx="0">
                  <c:v>25.3</c:v>
                </c:pt>
                <c:pt idx="1">
                  <c:v>24.8</c:v>
                </c:pt>
                <c:pt idx="2">
                  <c:v>24.8</c:v>
                </c:pt>
                <c:pt idx="3">
                  <c:v>24.1</c:v>
                </c:pt>
                <c:pt idx="4">
                  <c:v>24.4</c:v>
                </c:pt>
                <c:pt idx="5" formatCode="0,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10'!$B$25:$G$25</c:f>
              <c:numCache>
                <c:formatCode>General</c:formatCode>
                <c:ptCount val="6"/>
                <c:pt idx="0">
                  <c:v>26.8</c:v>
                </c:pt>
                <c:pt idx="1">
                  <c:v>26.6</c:v>
                </c:pt>
                <c:pt idx="2">
                  <c:v>26.4</c:v>
                </c:pt>
                <c:pt idx="3">
                  <c:v>27.1</c:v>
                </c:pt>
                <c:pt idx="4">
                  <c:v>29.7</c:v>
                </c:pt>
                <c:pt idx="5" formatCode="0,0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451008"/>
        <c:axId val="187451568"/>
      </c:barChart>
      <c:catAx>
        <c:axId val="1874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451568"/>
        <c:crosses val="autoZero"/>
        <c:auto val="0"/>
        <c:lblAlgn val="ctr"/>
        <c:lblOffset val="100"/>
        <c:noMultiLvlLbl val="0"/>
      </c:catAx>
      <c:valAx>
        <c:axId val="18745156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451008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58878940132483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 Ianuarie - noiembrie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11'!$B$25:$B$43</c:f>
              <c:numCache>
                <c:formatCode>0,0</c:formatCode>
                <c:ptCount val="19"/>
                <c:pt idx="0">
                  <c:v>13</c:v>
                </c:pt>
                <c:pt idx="1">
                  <c:v>13.8</c:v>
                </c:pt>
                <c:pt idx="2">
                  <c:v>9.6999999999999993</c:v>
                </c:pt>
                <c:pt idx="3">
                  <c:v>9.6</c:v>
                </c:pt>
                <c:pt idx="4">
                  <c:v>7.9</c:v>
                </c:pt>
                <c:pt idx="5">
                  <c:v>6.8</c:v>
                </c:pt>
                <c:pt idx="6">
                  <c:v>7.1</c:v>
                </c:pt>
                <c:pt idx="7">
                  <c:v>3.2</c:v>
                </c:pt>
                <c:pt idx="8">
                  <c:v>2.2999999999999998</c:v>
                </c:pt>
                <c:pt idx="9">
                  <c:v>2.6</c:v>
                </c:pt>
                <c:pt idx="10">
                  <c:v>2</c:v>
                </c:pt>
                <c:pt idx="11">
                  <c:v>1.3</c:v>
                </c:pt>
                <c:pt idx="12">
                  <c:v>1.3</c:v>
                </c:pt>
                <c:pt idx="13">
                  <c:v>1.9</c:v>
                </c:pt>
                <c:pt idx="14">
                  <c:v>1.2</c:v>
                </c:pt>
                <c:pt idx="15">
                  <c:v>1.4</c:v>
                </c:pt>
                <c:pt idx="16">
                  <c:v>1.1000000000000001</c:v>
                </c:pt>
                <c:pt idx="17">
                  <c:v>0.7</c:v>
                </c:pt>
                <c:pt idx="18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 - noiembrie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11'!$C$25:$C$43</c:f>
              <c:numCache>
                <c:formatCode>0,0</c:formatCode>
                <c:ptCount val="19"/>
                <c:pt idx="0">
                  <c:v>11.6</c:v>
                </c:pt>
                <c:pt idx="1">
                  <c:v>14.5</c:v>
                </c:pt>
                <c:pt idx="2">
                  <c:v>10.4</c:v>
                </c:pt>
                <c:pt idx="3">
                  <c:v>10.6</c:v>
                </c:pt>
                <c:pt idx="4">
                  <c:v>8.1</c:v>
                </c:pt>
                <c:pt idx="5">
                  <c:v>6.3</c:v>
                </c:pt>
                <c:pt idx="6">
                  <c:v>7</c:v>
                </c:pt>
                <c:pt idx="7">
                  <c:v>3.4</c:v>
                </c:pt>
                <c:pt idx="8">
                  <c:v>2.4</c:v>
                </c:pt>
                <c:pt idx="9">
                  <c:v>2.4</c:v>
                </c:pt>
                <c:pt idx="10">
                  <c:v>2.1</c:v>
                </c:pt>
                <c:pt idx="11">
                  <c:v>1.4</c:v>
                </c:pt>
                <c:pt idx="12">
                  <c:v>1.5</c:v>
                </c:pt>
                <c:pt idx="13">
                  <c:v>1.7</c:v>
                </c:pt>
                <c:pt idx="14">
                  <c:v>1.3</c:v>
                </c:pt>
                <c:pt idx="15">
                  <c:v>1.6</c:v>
                </c:pt>
                <c:pt idx="16">
                  <c:v>1</c:v>
                </c:pt>
                <c:pt idx="17">
                  <c:v>0.8</c:v>
                </c:pt>
                <c:pt idx="18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 - noiembrie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11'!$D$25:$D$43</c:f>
              <c:numCache>
                <c:formatCode>0,0</c:formatCode>
                <c:ptCount val="19"/>
                <c:pt idx="0">
                  <c:v>12.1</c:v>
                </c:pt>
                <c:pt idx="1">
                  <c:v>14.8</c:v>
                </c:pt>
                <c:pt idx="2">
                  <c:v>10.5</c:v>
                </c:pt>
                <c:pt idx="3">
                  <c:v>10.1</c:v>
                </c:pt>
                <c:pt idx="4">
                  <c:v>8.4</c:v>
                </c:pt>
                <c:pt idx="5">
                  <c:v>5.9</c:v>
                </c:pt>
                <c:pt idx="6">
                  <c:v>6.8</c:v>
                </c:pt>
                <c:pt idx="7">
                  <c:v>3.5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</c:v>
                </c:pt>
                <c:pt idx="11">
                  <c:v>1.5</c:v>
                </c:pt>
                <c:pt idx="12">
                  <c:v>1.3</c:v>
                </c:pt>
                <c:pt idx="13">
                  <c:v>1.9</c:v>
                </c:pt>
                <c:pt idx="14">
                  <c:v>1.3</c:v>
                </c:pt>
                <c:pt idx="15">
                  <c:v>1.2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 Ianuarie - noiembrie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11'!$E$25:$E$43</c:f>
              <c:numCache>
                <c:formatCode>0,0</c:formatCode>
                <c:ptCount val="19"/>
                <c:pt idx="0">
                  <c:v>11.6</c:v>
                </c:pt>
                <c:pt idx="1">
                  <c:v>14.5</c:v>
                </c:pt>
                <c:pt idx="2">
                  <c:v>10.199999999999999</c:v>
                </c:pt>
                <c:pt idx="3">
                  <c:v>9.9</c:v>
                </c:pt>
                <c:pt idx="4">
                  <c:v>8.3000000000000007</c:v>
                </c:pt>
                <c:pt idx="5">
                  <c:v>6.7</c:v>
                </c:pt>
                <c:pt idx="6">
                  <c:v>7.1</c:v>
                </c:pt>
                <c:pt idx="7">
                  <c:v>3.4</c:v>
                </c:pt>
                <c:pt idx="8">
                  <c:v>2.5</c:v>
                </c:pt>
                <c:pt idx="9">
                  <c:v>2.2999999999999998</c:v>
                </c:pt>
                <c:pt idx="10">
                  <c:v>1.9</c:v>
                </c:pt>
                <c:pt idx="11">
                  <c:v>2</c:v>
                </c:pt>
                <c:pt idx="12">
                  <c:v>1.3</c:v>
                </c:pt>
                <c:pt idx="13">
                  <c:v>1.6</c:v>
                </c:pt>
                <c:pt idx="14">
                  <c:v>1.4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 - noiembrie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11'!$F$25:$F$43</c:f>
              <c:numCache>
                <c:formatCode>0,0</c:formatCode>
                <c:ptCount val="19"/>
                <c:pt idx="0">
                  <c:v>10.9</c:v>
                </c:pt>
                <c:pt idx="1">
                  <c:v>11.7</c:v>
                </c:pt>
                <c:pt idx="2">
                  <c:v>11.8</c:v>
                </c:pt>
                <c:pt idx="3">
                  <c:v>9.9</c:v>
                </c:pt>
                <c:pt idx="4">
                  <c:v>8.4</c:v>
                </c:pt>
                <c:pt idx="5">
                  <c:v>7</c:v>
                </c:pt>
                <c:pt idx="6">
                  <c:v>6.4</c:v>
                </c:pt>
                <c:pt idx="7">
                  <c:v>4</c:v>
                </c:pt>
                <c:pt idx="8">
                  <c:v>2.2000000000000002</c:v>
                </c:pt>
                <c:pt idx="9">
                  <c:v>2.1</c:v>
                </c:pt>
                <c:pt idx="10">
                  <c:v>1.9</c:v>
                </c:pt>
                <c:pt idx="11">
                  <c:v>1.8</c:v>
                </c:pt>
                <c:pt idx="12">
                  <c:v>1.2</c:v>
                </c:pt>
                <c:pt idx="13">
                  <c:v>1.2</c:v>
                </c:pt>
                <c:pt idx="14">
                  <c:v>1.5</c:v>
                </c:pt>
                <c:pt idx="15">
                  <c:v>1.2</c:v>
                </c:pt>
                <c:pt idx="16">
                  <c:v>1.1000000000000001</c:v>
                </c:pt>
                <c:pt idx="17">
                  <c:v>1</c:v>
                </c:pt>
                <c:pt idx="18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 - noiembrie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Federația Rusă</c:v>
                </c:pt>
                <c:pt idx="1">
                  <c:v>România</c:v>
                </c:pt>
                <c:pt idx="2">
                  <c:v>China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Belarus</c:v>
                </c:pt>
                <c:pt idx="10">
                  <c:v>Ungaria</c:v>
                </c:pt>
                <c:pt idx="11">
                  <c:v>Republica Cehă</c:v>
                </c:pt>
                <c:pt idx="12">
                  <c:v>S.U.A.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11'!$G$25:$G$43</c:f>
              <c:numCache>
                <c:formatCode>0,0</c:formatCode>
                <c:ptCount val="19"/>
                <c:pt idx="0">
                  <c:v>14</c:v>
                </c:pt>
                <c:pt idx="1">
                  <c:v>11.8</c:v>
                </c:pt>
                <c:pt idx="2">
                  <c:v>11.6</c:v>
                </c:pt>
                <c:pt idx="3">
                  <c:v>9.4</c:v>
                </c:pt>
                <c:pt idx="4">
                  <c:v>7.7</c:v>
                </c:pt>
                <c:pt idx="5">
                  <c:v>7.5</c:v>
                </c:pt>
                <c:pt idx="6">
                  <c:v>6.3</c:v>
                </c:pt>
                <c:pt idx="7">
                  <c:v>3.7</c:v>
                </c:pt>
                <c:pt idx="8">
                  <c:v>2.4</c:v>
                </c:pt>
                <c:pt idx="9">
                  <c:v>2</c:v>
                </c:pt>
                <c:pt idx="10">
                  <c:v>1.7</c:v>
                </c:pt>
                <c:pt idx="11">
                  <c:v>1.6</c:v>
                </c:pt>
                <c:pt idx="12">
                  <c:v>1.5</c:v>
                </c:pt>
                <c:pt idx="13">
                  <c:v>1.4</c:v>
                </c:pt>
                <c:pt idx="14">
                  <c:v>1.3</c:v>
                </c:pt>
                <c:pt idx="15">
                  <c:v>1.1000000000000001</c:v>
                </c:pt>
                <c:pt idx="16">
                  <c:v>1</c:v>
                </c:pt>
                <c:pt idx="17">
                  <c:v>0.9</c:v>
                </c:pt>
                <c:pt idx="18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073696"/>
        <c:axId val="188074256"/>
      </c:barChart>
      <c:catAx>
        <c:axId val="1880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074256"/>
        <c:crosses val="autoZero"/>
        <c:auto val="1"/>
        <c:lblAlgn val="ctr"/>
        <c:lblOffset val="100"/>
        <c:noMultiLvlLbl val="0"/>
      </c:catAx>
      <c:valAx>
        <c:axId val="1880742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07369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5372893709763699E-2"/>
          <c:y val="0.88698045332192899"/>
          <c:w val="0.87062830552473691"/>
          <c:h val="0.11080576589268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 baseline="0">
                <a:solidFill>
                  <a:sysClr val="windowText" lastClr="000000"/>
                </a:solidFill>
              </a:rPr>
              <a:t>Ianuarie - </a:t>
            </a:r>
            <a:r>
              <a:rPr lang="en-US" sz="800" b="1" baseline="0">
                <a:solidFill>
                  <a:sysClr val="windowText" lastClr="000000"/>
                </a:solidFill>
              </a:rPr>
              <a:t>noiembrie </a:t>
            </a:r>
            <a:r>
              <a:rPr lang="ro-RO" sz="800" b="1" baseline="0">
                <a:solidFill>
                  <a:sysClr val="windowText" lastClr="000000"/>
                </a:solidFill>
              </a:rPr>
              <a:t> 2020</a:t>
            </a:r>
            <a:endParaRPr lang="en-US" sz="800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778009306213773"/>
          <c:y val="2.7120219464643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5.8877353445573405E-2"/>
                  <c:y val="-7.4392206931968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50256013080329"/>
                      <c:h val="0.143219071425290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7.4208756692298707E-3"/>
                  <c:y val="4.78292380854726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8170683210048"/>
                      <c:h val="0.12542792908374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2.5368714156632062E-2"/>
                  <c:y val="0.12864419417191394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93846433935637"/>
                      <c:h val="0.180175165904289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1.5408729646499105E-3"/>
                  <c:y val="9.4749998186903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-1.4014149870610436E-2"/>
                  <c:y val="0.108863658262072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7.26372727999164E-2"/>
                  <c:y val="4.7450458437096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1.4242195135444106E-2"/>
                  <c:y val="-3.459923145435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1.6953962798468187E-2"/>
                  <c:y val="-1.37665486894455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83269714236539"/>
                      <c:h val="0.281118345461508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1.647335066723217E-5"/>
                  <c:y val="9.0998097457555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30196635256658"/>
                      <c:h val="0.216210186562434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631-4CA1-BC5D-E5ED86221948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12'!$B$24:$B$32</c:f>
              <c:numCache>
                <c:formatCode>0,0</c:formatCode>
                <c:ptCount val="9"/>
                <c:pt idx="0">
                  <c:v>12.1</c:v>
                </c:pt>
                <c:pt idx="1">
                  <c:v>2</c:v>
                </c:pt>
                <c:pt idx="2">
                  <c:v>2.6</c:v>
                </c:pt>
                <c:pt idx="3">
                  <c:v>10.8</c:v>
                </c:pt>
                <c:pt idx="4">
                  <c:v>0.2</c:v>
                </c:pt>
                <c:pt idx="5">
                  <c:v>15.4</c:v>
                </c:pt>
                <c:pt idx="6">
                  <c:v>19.899999999999999</c:v>
                </c:pt>
                <c:pt idx="7">
                  <c:v>26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</a:t>
            </a: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noiembrie</a:t>
            </a: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2021</a:t>
            </a:r>
            <a:endParaRPr lang="en-US" sz="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165106574067623"/>
          <c:y val="2.487317859913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tx>
            <c:strRef>
              <c:f>'Figura 12'!$B$34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4.4264201488088399E-2"/>
                  <c:y val="2.7860422514774903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46796740038"/>
                      <c:h val="0.145537222194706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4.9012302665706609E-2"/>
                  <c:y val="5.6231304655977768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4.1846870911047621E-2"/>
                  <c:y val="0.160634686001930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8535758251"/>
                      <c:h val="0.18144110408563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-8.2264034464851581E-3"/>
                  <c:y val="0.10730561913285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-9.7563468283278741E-3"/>
                  <c:y val="9.4967115726969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8.2984693285020783E-2"/>
                  <c:y val="6.91101644074133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07936878027069"/>
                      <c:h val="0.13680482841801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3.3138534674316156E-2"/>
                  <c:y val="-3.0142056711070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2717893021995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7.8665830488003161E-3"/>
                  <c:y val="3.92841148173157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9581377110336"/>
                      <c:h val="0.247886137063284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1.4815382590450531E-2"/>
                  <c:y val="0.101549551032708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826565958252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3-4FE3-A741-BA04960B8052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12'!$B$35:$B$43</c:f>
              <c:numCache>
                <c:formatCode>0,0</c:formatCode>
                <c:ptCount val="9"/>
                <c:pt idx="0">
                  <c:v>10.7</c:v>
                </c:pt>
                <c:pt idx="1">
                  <c:v>1.8</c:v>
                </c:pt>
                <c:pt idx="2">
                  <c:v>2.7</c:v>
                </c:pt>
                <c:pt idx="3">
                  <c:v>14.4</c:v>
                </c:pt>
                <c:pt idx="4">
                  <c:v>0.2</c:v>
                </c:pt>
                <c:pt idx="5">
                  <c:v>14.6</c:v>
                </c:pt>
                <c:pt idx="6">
                  <c:v>18.7</c:v>
                </c:pt>
                <c:pt idx="7">
                  <c:v>25.3</c:v>
                </c:pt>
                <c:pt idx="8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13'!$B$23:$B$28</c:f>
              <c:numCache>
                <c:formatCode>#\ ##0,0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13'!$C$23:$C$28</c:f>
              <c:numCache>
                <c:formatCode>#\ ##0,0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13'!$D$23:$D$28</c:f>
              <c:numCache>
                <c:formatCode>#\ ##0,0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>
                  <c:v>-370.8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13'!$E$23:$E$28</c:f>
              <c:numCache>
                <c:formatCode>#\ ##0,0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  <c:pt idx="5">
                  <c:v>-344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13'!$F$23:$F$28</c:f>
              <c:numCache>
                <c:formatCode>#\ ##0,0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  <c:pt idx="5">
                  <c:v>-361.7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13'!$G$23:$G$28</c:f>
              <c:numCache>
                <c:formatCode>#\ ##0,0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  <c:pt idx="5">
                  <c:v>-362.8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13'!$H$23:$H$28</c:f>
              <c:numCache>
                <c:formatCode>#\ ##0,0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-305.5</c:v>
                </c:pt>
                <c:pt idx="5">
                  <c:v>-321.3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13'!$I$23:$I$28</c:f>
              <c:numCache>
                <c:formatCode>#\ ##0,0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  <c:pt idx="5">
                  <c:v>-338.7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13'!$J$23:$J$28</c:f>
              <c:numCache>
                <c:formatCode>#\ ##0,0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</c:v>
                </c:pt>
                <c:pt idx="5">
                  <c:v>-374.8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13'!$K$23:$K$28</c:f>
              <c:numCache>
                <c:formatCode>#\ ##0,0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  <c:pt idx="5">
                  <c:v>-293.60000000000002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13'!$L$23:$L$28</c:f>
              <c:numCache>
                <c:formatCode>#\ ##0,0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  <c:pt idx="5">
                  <c:v>-337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13'!$M$23:$M$28</c:f>
              <c:numCache>
                <c:formatCode>#\ ##0,0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8455376"/>
        <c:axId val="188455936"/>
      </c:barChart>
      <c:catAx>
        <c:axId val="18845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45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455936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45537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5819209039548063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2.0338983050847456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14'!$B$25:$B$30</c:f>
              <c:numCache>
                <c:formatCode>#\ ##0,0</c:formatCode>
                <c:ptCount val="6"/>
                <c:pt idx="0">
                  <c:v>1851.1</c:v>
                </c:pt>
                <c:pt idx="1">
                  <c:v>2191.9</c:v>
                </c:pt>
                <c:pt idx="2">
                  <c:v>2487.3000000000002</c:v>
                </c:pt>
                <c:pt idx="3">
                  <c:v>2560.9</c:v>
                </c:pt>
                <c:pt idx="4">
                  <c:v>2248.9</c:v>
                </c:pt>
                <c:pt idx="5">
                  <c:v>2819.5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870056497176E-3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14'!$C$25:$C$30</c:f>
              <c:numCache>
                <c:formatCode>#\ ##0,0</c:formatCode>
                <c:ptCount val="6"/>
                <c:pt idx="0">
                  <c:v>3629</c:v>
                </c:pt>
                <c:pt idx="1">
                  <c:v>4360</c:v>
                </c:pt>
                <c:pt idx="2">
                  <c:v>5240.7</c:v>
                </c:pt>
                <c:pt idx="3">
                  <c:v>5302.8</c:v>
                </c:pt>
                <c:pt idx="4">
                  <c:v>4848.7</c:v>
                </c:pt>
                <c:pt idx="5">
                  <c:v>6419.6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88280464"/>
        <c:axId val="188281024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68134703522E-2"/>
                  <c:y val="-3.37487235317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5985586547444281E-2"/>
                  <c:y val="4.60176722282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52084167447E-2"/>
                  <c:y val="-4.206665485142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740112994433E-2"/>
                  <c:y val="-3.85852090032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1.1299435028248588E-2"/>
                  <c:y val="-3.429796355841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14'!$D$25:$D$30</c:f>
              <c:numCache>
                <c:formatCode>#\ ##0,0</c:formatCode>
                <c:ptCount val="6"/>
                <c:pt idx="0">
                  <c:v>-1777.9</c:v>
                </c:pt>
                <c:pt idx="1">
                  <c:v>-2168.1</c:v>
                </c:pt>
                <c:pt idx="2">
                  <c:v>-2753.4</c:v>
                </c:pt>
                <c:pt idx="3">
                  <c:v>-2741.9</c:v>
                </c:pt>
                <c:pt idx="4">
                  <c:v>-2599.8000000000002</c:v>
                </c:pt>
                <c:pt idx="5">
                  <c:v>-3600.1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80464"/>
        <c:axId val="188281024"/>
      </c:lineChart>
      <c:catAx>
        <c:axId val="18828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281024"/>
        <c:crosses val="autoZero"/>
        <c:auto val="1"/>
        <c:lblAlgn val="ctr"/>
        <c:lblOffset val="100"/>
        <c:noMultiLvlLbl val="0"/>
      </c:catAx>
      <c:valAx>
        <c:axId val="188281024"/>
        <c:scaling>
          <c:orientation val="minMax"/>
        </c:scaling>
        <c:delete val="0"/>
        <c:axPos val="l"/>
        <c:numFmt formatCode="#\ ##0,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28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35604794477276E-2"/>
          <c:y val="5.4744609803355736E-2"/>
          <c:w val="0.89859439906802596"/>
          <c:h val="0.70922565307608798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519481181357186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12-4DEC-990D-4FC6E2993FBA}"/>
                </c:ext>
              </c:extLst>
            </c:dLbl>
            <c:dLbl>
              <c:idx val="1"/>
              <c:layout>
                <c:manualLayout>
                  <c:x val="-2.5351400249726066E-2"/>
                  <c:y val="2.777244443328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12-4DEC-990D-4FC6E2993FBA}"/>
                </c:ext>
              </c:extLst>
            </c:dLbl>
            <c:dLbl>
              <c:idx val="2"/>
              <c:layout>
                <c:manualLayout>
                  <c:x val="-3.363331511581618E-2"/>
                  <c:y val="-2.4571614078911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12-4DEC-990D-4FC6E2993FBA}"/>
                </c:ext>
              </c:extLst>
            </c:dLbl>
            <c:dLbl>
              <c:idx val="3"/>
              <c:layout>
                <c:manualLayout>
                  <c:x val="-2.9820095303621029E-2"/>
                  <c:y val="3.1395631805422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12-4DEC-990D-4FC6E2993FBA}"/>
                </c:ext>
              </c:extLst>
            </c:dLbl>
            <c:dLbl>
              <c:idx val="4"/>
              <c:layout>
                <c:manualLayout>
                  <c:x val="-2.4058987633458432E-2"/>
                  <c:y val="-2.839723028722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12-4DEC-990D-4FC6E2993FBA}"/>
                </c:ext>
              </c:extLst>
            </c:dLbl>
            <c:dLbl>
              <c:idx val="5"/>
              <c:layout>
                <c:manualLayout>
                  <c:x val="-2.4965671279254722E-2"/>
                  <c:y val="-3.2121695731571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12-4DEC-990D-4FC6E2993FBA}"/>
                </c:ext>
              </c:extLst>
            </c:dLbl>
            <c:dLbl>
              <c:idx val="6"/>
              <c:layout>
                <c:manualLayout>
                  <c:x val="-3.48844716540672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12-4DEC-990D-4FC6E2993FBA}"/>
                </c:ext>
              </c:extLst>
            </c:dLbl>
            <c:dLbl>
              <c:idx val="7"/>
              <c:layout>
                <c:manualLayout>
                  <c:x val="-2.4678663239074552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12-4DEC-990D-4FC6E2993FBA}"/>
                </c:ext>
              </c:extLst>
            </c:dLbl>
            <c:dLbl>
              <c:idx val="8"/>
              <c:layout>
                <c:manualLayout>
                  <c:x val="-3.22065081670617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12-4DEC-990D-4FC6E2993FBA}"/>
                </c:ext>
              </c:extLst>
            </c:dLbl>
            <c:dLbl>
              <c:idx val="9"/>
              <c:layout>
                <c:manualLayout>
                  <c:x val="-1.6782356088984023E-2"/>
                  <c:y val="-2.084730661665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12-4DEC-990D-4FC6E2993FBA}"/>
                </c:ext>
              </c:extLst>
            </c:dLbl>
            <c:dLbl>
              <c:idx val="10"/>
              <c:layout>
                <c:manualLayout>
                  <c:x val="-2.4678663239074614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12-4DEC-990D-4FC6E2993FBA}"/>
                </c:ext>
              </c:extLst>
            </c:dLbl>
            <c:dLbl>
              <c:idx val="11"/>
              <c:layout>
                <c:manualLayout>
                  <c:x val="-2.9820051413881749E-2"/>
                  <c:y val="3.129429132559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12-4DEC-990D-4FC6E2993FBA}"/>
                </c:ext>
              </c:extLst>
            </c:dLbl>
            <c:dLbl>
              <c:idx val="12"/>
              <c:layout>
                <c:manualLayout>
                  <c:x val="-4.077560968545884E-2"/>
                  <c:y val="-2.849850835943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12-4DEC-990D-4FC6E2993FBA}"/>
                </c:ext>
              </c:extLst>
            </c:dLbl>
            <c:dLbl>
              <c:idx val="13"/>
              <c:layout>
                <c:manualLayout>
                  <c:x val="-3.1755727136049801E-2"/>
                  <c:y val="-2.752709473722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12-4DEC-990D-4FC6E2993FBA}"/>
                </c:ext>
              </c:extLst>
            </c:dLbl>
            <c:dLbl>
              <c:idx val="14"/>
              <c:layout>
                <c:manualLayout>
                  <c:x val="-1.4682873378691742E-2"/>
                  <c:y val="-2.8295952215008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12-4DEC-990D-4FC6E2993FBA}"/>
                </c:ext>
              </c:extLst>
            </c:dLbl>
            <c:dLbl>
              <c:idx val="15"/>
              <c:layout>
                <c:manualLayout>
                  <c:x val="-2.4678663239074552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12-4DEC-990D-4FC6E2993FBA}"/>
                </c:ext>
              </c:extLst>
            </c:dLbl>
            <c:dLbl>
              <c:idx val="16"/>
              <c:layout>
                <c:manualLayout>
                  <c:x val="-4.931759108052014E-2"/>
                  <c:y val="-1.7527668170812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12-4DEC-990D-4FC6E2993FBA}"/>
                </c:ext>
              </c:extLst>
            </c:dLbl>
            <c:dLbl>
              <c:idx val="17"/>
              <c:layout>
                <c:manualLayout>
                  <c:x val="-3.4018498665006183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12-4DEC-990D-4FC6E2993FBA}"/>
                </c:ext>
              </c:extLst>
            </c:dLbl>
            <c:dLbl>
              <c:idx val="18"/>
              <c:layout>
                <c:manualLayout>
                  <c:x val="-1.8209170835765551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12-4DEC-990D-4FC6E2993FBA}"/>
                </c:ext>
              </c:extLst>
            </c:dLbl>
            <c:dLbl>
              <c:idx val="19"/>
              <c:layout>
                <c:manualLayout>
                  <c:x val="-2.9820051413881749E-2"/>
                  <c:y val="3.129429132559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12-4DEC-990D-4FC6E2993FBA}"/>
                </c:ext>
              </c:extLst>
            </c:dLbl>
            <c:dLbl>
              <c:idx val="20"/>
              <c:layout>
                <c:manualLayout>
                  <c:x val="-3.1919519057547113E-2"/>
                  <c:y val="-3.202040146617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12-4DEC-990D-4FC6E2993FBA}"/>
                </c:ext>
              </c:extLst>
            </c:dLbl>
            <c:dLbl>
              <c:idx val="21"/>
              <c:layout>
                <c:manualLayout>
                  <c:x val="-2.1636742707932716E-2"/>
                  <c:y val="-2.829600777254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12-4DEC-990D-4FC6E2993FBA}"/>
                </c:ext>
              </c:extLst>
            </c:dLbl>
            <c:dLbl>
              <c:idx val="22"/>
              <c:layout>
                <c:manualLayout>
                  <c:x val="-4.7391620663622597E-2"/>
                  <c:y val="1.39792268688728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12-4DEC-990D-4FC6E2993FBA}"/>
                </c:ext>
              </c:extLst>
            </c:dLbl>
            <c:dLbl>
              <c:idx val="23"/>
              <c:layout>
                <c:manualLayout>
                  <c:x val="-2.9820051413881873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12-4DEC-990D-4FC6E2993FBA}"/>
                </c:ext>
              </c:extLst>
            </c:dLbl>
            <c:dLbl>
              <c:idx val="24"/>
              <c:layout>
                <c:manualLayout>
                  <c:x val="-2.6777649002737016E-2"/>
                  <c:y val="-3.202041765935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12-4DEC-990D-4FC6E2993FBA}"/>
                </c:ext>
              </c:extLst>
            </c:dLbl>
            <c:dLbl>
              <c:idx val="25"/>
              <c:layout>
                <c:manualLayout>
                  <c:x val="-5.0997029784991307E-2"/>
                  <c:y val="-1.02812934265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E12-4DEC-990D-4FC6E2993FBA}"/>
                </c:ext>
              </c:extLst>
            </c:dLbl>
            <c:dLbl>
              <c:idx val="26"/>
              <c:layout>
                <c:manualLayout>
                  <c:x val="-1.1353966358318321E-2"/>
                  <c:y val="1.49914177652406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E12-4DEC-990D-4FC6E2993FBA}"/>
                </c:ext>
              </c:extLst>
            </c:dLbl>
            <c:dLbl>
              <c:idx val="27"/>
              <c:layout>
                <c:manualLayout>
                  <c:x val="-2.6392477639324209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E12-4DEC-990D-4FC6E2993FBA}"/>
                </c:ext>
              </c:extLst>
            </c:dLbl>
            <c:dLbl>
              <c:idx val="28"/>
              <c:layout>
                <c:manualLayout>
                  <c:x val="-3.9467805524443011E-2"/>
                  <c:y val="-2.325601299326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E12-4DEC-990D-4FC6E2993FBA}"/>
                </c:ext>
              </c:extLst>
            </c:dLbl>
            <c:dLbl>
              <c:idx val="29"/>
              <c:layout>
                <c:manualLayout>
                  <c:x val="-7.048182303171076E-3"/>
                  <c:y val="-4.83624191594148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E12-4DEC-990D-4FC6E2993FBA}"/>
                </c:ext>
              </c:extLst>
            </c:dLbl>
            <c:dLbl>
              <c:idx val="30"/>
              <c:layout>
                <c:manualLayout>
                  <c:x val="-3.5302427271094415E-2"/>
                  <c:y val="2.293477606562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E12-4DEC-990D-4FC6E2993FBA}"/>
                </c:ext>
              </c:extLst>
            </c:dLbl>
            <c:dLbl>
              <c:idx val="31"/>
              <c:layout>
                <c:manualLayout>
                  <c:x val="-1.6581449169753525E-2"/>
                  <c:y val="2.689118255985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E12-4DEC-990D-4FC6E2993FBA}"/>
                </c:ext>
              </c:extLst>
            </c:dLbl>
            <c:dLbl>
              <c:idx val="32"/>
              <c:layout>
                <c:manualLayout>
                  <c:x val="-6.7185857785283382E-3"/>
                  <c:y val="-1.303434524867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E12-4DEC-990D-4FC6E2993FBA}"/>
                </c:ext>
              </c:extLst>
            </c:dLbl>
            <c:dLbl>
              <c:idx val="33"/>
              <c:layout>
                <c:manualLayout>
                  <c:x val="-3.2796682690374862E-2"/>
                  <c:y val="2.3197528472689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E12-4DEC-990D-4FC6E2993FBA}"/>
                </c:ext>
              </c:extLst>
            </c:dLbl>
            <c:dLbl>
              <c:idx val="34"/>
              <c:layout>
                <c:manualLayout>
                  <c:x val="0"/>
                  <c:y val="3.406709058909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E12-4DEC-990D-4FC6E2993F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2'!$B$22:$AJ$23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2'!$B$24:$AJ$24</c:f>
              <c:numCache>
                <c:formatCode>#\ ##0,0</c:formatCode>
                <c:ptCount val="35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114.41147354263464</c:v>
                </c:pt>
                <c:pt idx="26">
                  <c:v>114.20579997969134</c:v>
                </c:pt>
                <c:pt idx="27">
                  <c:v>84.167356355788357</c:v>
                </c:pt>
                <c:pt idx="28">
                  <c:v>92.421884276527052</c:v>
                </c:pt>
                <c:pt idx="29" formatCode="0,0">
                  <c:v>112.45124175218632</c:v>
                </c:pt>
                <c:pt idx="30" formatCode="0,0">
                  <c:v>106.13290668113962</c:v>
                </c:pt>
                <c:pt idx="31" formatCode="0,0">
                  <c:v>98.133871970000001</c:v>
                </c:pt>
                <c:pt idx="32" formatCode="0,0">
                  <c:v>124.81061560262756</c:v>
                </c:pt>
                <c:pt idx="33" formatCode="0,0">
                  <c:v>119.45491359908731</c:v>
                </c:pt>
                <c:pt idx="34" formatCode="0,0">
                  <c:v>103.29169796610861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160767525418544E-2"/>
                  <c:y val="2.3845422844510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E12-4DEC-990D-4FC6E2993FBA}"/>
                </c:ext>
              </c:extLst>
            </c:dLbl>
            <c:dLbl>
              <c:idx val="1"/>
              <c:layout>
                <c:manualLayout>
                  <c:x val="-3.0137604158703479E-2"/>
                  <c:y val="-3.115028210935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E12-4DEC-990D-4FC6E2993FBA}"/>
                </c:ext>
              </c:extLst>
            </c:dLbl>
            <c:dLbl>
              <c:idx val="2"/>
              <c:layout>
                <c:manualLayout>
                  <c:x val="-3.1919519057547113E-2"/>
                  <c:y val="2.0121110244692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E12-4DEC-990D-4FC6E2993FBA}"/>
                </c:ext>
              </c:extLst>
            </c:dLbl>
            <c:dLbl>
              <c:idx val="3"/>
              <c:layout>
                <c:manualLayout>
                  <c:x val="-2.182809673062712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E12-4DEC-990D-4FC6E2993FBA}"/>
                </c:ext>
              </c:extLst>
            </c:dLbl>
            <c:dLbl>
              <c:idx val="4"/>
              <c:layout>
                <c:manualLayout>
                  <c:x val="-3.2057324716128252E-2"/>
                  <c:y val="2.0323513544586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E12-4DEC-990D-4FC6E2993FBA}"/>
                </c:ext>
              </c:extLst>
            </c:dLbl>
            <c:dLbl>
              <c:idx val="5"/>
              <c:layout>
                <c:manualLayout>
                  <c:x val="-2.7723543052264099E-2"/>
                  <c:y val="3.1091797588783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E12-4DEC-990D-4FC6E2993FBA}"/>
                </c:ext>
              </c:extLst>
            </c:dLbl>
            <c:dLbl>
              <c:idx val="6"/>
              <c:layout>
                <c:manualLayout>
                  <c:x val="-2.9169007046985648E-2"/>
                  <c:y val="3.8439450405269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E12-4DEC-990D-4FC6E2993FBA}"/>
                </c:ext>
              </c:extLst>
            </c:dLbl>
            <c:dLbl>
              <c:idx val="7"/>
              <c:layout>
                <c:manualLayout>
                  <c:x val="-9.2544987146529565E-3"/>
                  <c:y val="-1.71228266916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E12-4DEC-990D-4FC6E2993FBA}"/>
                </c:ext>
              </c:extLst>
            </c:dLbl>
            <c:dLbl>
              <c:idx val="8"/>
              <c:layout>
                <c:manualLayout>
                  <c:x val="-5.0021565666193951E-2"/>
                  <c:y val="5.4259370575325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E12-4DEC-990D-4FC6E2993FBA}"/>
                </c:ext>
              </c:extLst>
            </c:dLbl>
            <c:dLbl>
              <c:idx val="9"/>
              <c:layout>
                <c:manualLayout>
                  <c:x val="-3.8774703290623373E-2"/>
                  <c:y val="2.38455039383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E12-4DEC-990D-4FC6E2993FBA}"/>
                </c:ext>
              </c:extLst>
            </c:dLbl>
            <c:dLbl>
              <c:idx val="10"/>
              <c:layout>
                <c:manualLayout>
                  <c:x val="-3.66752356469580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E12-4DEC-990D-4FC6E2993FBA}"/>
                </c:ext>
              </c:extLst>
            </c:dLbl>
            <c:dLbl>
              <c:idx val="11"/>
              <c:layout>
                <c:manualLayout>
                  <c:x val="-2.8363063390110309E-2"/>
                  <c:y val="3.491754110534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E12-4DEC-990D-4FC6E2993FBA}"/>
                </c:ext>
              </c:extLst>
            </c:dLbl>
            <c:dLbl>
              <c:idx val="12"/>
              <c:layout>
                <c:manualLayout>
                  <c:x val="-2.8106255355612682E-2"/>
                  <c:y val="3.1294291325593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E12-4DEC-990D-4FC6E2993FBA}"/>
                </c:ext>
              </c:extLst>
            </c:dLbl>
            <c:dLbl>
              <c:idx val="13"/>
              <c:layout>
                <c:manualLayout>
                  <c:x val="-1.7438809246436312E-2"/>
                  <c:y val="-2.386311084585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E12-4DEC-990D-4FC6E2993FBA}"/>
                </c:ext>
              </c:extLst>
            </c:dLbl>
            <c:dLbl>
              <c:idx val="14"/>
              <c:layout>
                <c:manualLayout>
                  <c:x val="-4.1816615242648299E-2"/>
                  <c:y val="2.4047978988936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E12-4DEC-990D-4FC6E2993FBA}"/>
                </c:ext>
              </c:extLst>
            </c:dLbl>
            <c:dLbl>
              <c:idx val="15"/>
              <c:layout>
                <c:manualLayout>
                  <c:x val="-2.8106255355612682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E12-4DEC-990D-4FC6E2993FBA}"/>
                </c:ext>
              </c:extLst>
            </c:dLbl>
            <c:dLbl>
              <c:idx val="16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E12-4DEC-990D-4FC6E2993FBA}"/>
                </c:ext>
              </c:extLst>
            </c:dLbl>
            <c:dLbl>
              <c:idx val="17"/>
              <c:layout>
                <c:manualLayout>
                  <c:x val="-2.84913945704427E-2"/>
                  <c:y val="-2.115085554294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E12-4DEC-990D-4FC6E2993FBA}"/>
                </c:ext>
              </c:extLst>
            </c:dLbl>
            <c:dLbl>
              <c:idx val="18"/>
              <c:layout>
                <c:manualLayout>
                  <c:x val="-3.1405436148746323E-2"/>
                  <c:y val="2.7772444433286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E12-4DEC-990D-4FC6E2993FBA}"/>
                </c:ext>
              </c:extLst>
            </c:dLbl>
            <c:dLbl>
              <c:idx val="19"/>
              <c:layout>
                <c:manualLayout>
                  <c:x val="-2.8106255355612682E-2"/>
                  <c:y val="-3.9469188853446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E12-4DEC-990D-4FC6E2993FBA}"/>
                </c:ext>
              </c:extLst>
            </c:dLbl>
            <c:dLbl>
              <c:idx val="20"/>
              <c:layout>
                <c:manualLayout>
                  <c:x val="-1.7823479005998413E-2"/>
                  <c:y val="2.756989763196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E12-4DEC-990D-4FC6E2993FBA}"/>
                </c:ext>
              </c:extLst>
            </c:dLbl>
            <c:dLbl>
              <c:idx val="21"/>
              <c:layout>
                <c:manualLayout>
                  <c:x val="-3.1174309989490764E-2"/>
                  <c:y val="-2.829595221500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E12-4DEC-990D-4FC6E2993FBA}"/>
                </c:ext>
              </c:extLst>
            </c:dLbl>
            <c:dLbl>
              <c:idx val="22"/>
              <c:layout>
                <c:manualLayout>
                  <c:x val="-2.6392459297343615E-2"/>
                  <c:y val="2.756989763196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E12-4DEC-990D-4FC6E2993FBA}"/>
                </c:ext>
              </c:extLst>
            </c:dLbl>
            <c:dLbl>
              <c:idx val="23"/>
              <c:layout>
                <c:manualLayout>
                  <c:x val="-2.5351400249726066E-2"/>
                  <c:y val="-2.4571486770658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E12-4DEC-990D-4FC6E2993FBA}"/>
                </c:ext>
              </c:extLst>
            </c:dLbl>
            <c:dLbl>
              <c:idx val="24"/>
              <c:layout>
                <c:manualLayout>
                  <c:x val="-2.6777649002737016E-2"/>
                  <c:y val="2.75698882888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E12-4DEC-990D-4FC6E2993FBA}"/>
                </c:ext>
              </c:extLst>
            </c:dLbl>
            <c:dLbl>
              <c:idx val="25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E12-4DEC-990D-4FC6E2993FBA}"/>
                </c:ext>
              </c:extLst>
            </c:dLbl>
            <c:dLbl>
              <c:idx val="26"/>
              <c:layout>
                <c:manualLayout>
                  <c:x val="-4.8188084499146341E-2"/>
                  <c:y val="-2.0239923473718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CE12-4DEC-990D-4FC6E2993FBA}"/>
                </c:ext>
              </c:extLst>
            </c:dLbl>
            <c:dLbl>
              <c:idx val="27"/>
              <c:layout>
                <c:manualLayout>
                  <c:x val="-3.0527047071504498E-2"/>
                  <c:y val="-2.477404291508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E12-4DEC-990D-4FC6E2993FBA}"/>
                </c:ext>
              </c:extLst>
            </c:dLbl>
            <c:dLbl>
              <c:idx val="28"/>
              <c:layout>
                <c:manualLayout>
                  <c:x val="-8.1590982563622821E-3"/>
                  <c:y val="-1.762894624302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E12-4DEC-990D-4FC6E2993FBA}"/>
                </c:ext>
              </c:extLst>
            </c:dLbl>
            <c:dLbl>
              <c:idx val="29"/>
              <c:layout>
                <c:manualLayout>
                  <c:x val="-4.4442496771008824E-2"/>
                  <c:y val="7.73336536192924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CE12-4DEC-990D-4FC6E2993FBA}"/>
                </c:ext>
              </c:extLst>
            </c:dLbl>
            <c:dLbl>
              <c:idx val="30"/>
              <c:layout>
                <c:manualLayout>
                  <c:x val="-5.9205864685006873E-3"/>
                  <c:y val="-1.03588924001793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CE12-4DEC-990D-4FC6E2993FBA}"/>
                </c:ext>
              </c:extLst>
            </c:dLbl>
            <c:dLbl>
              <c:idx val="31"/>
              <c:layout>
                <c:manualLayout>
                  <c:x val="-2.7954048082354604E-2"/>
                  <c:y val="-2.8397515577566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CE12-4DEC-990D-4FC6E2993FBA}"/>
                </c:ext>
              </c:extLst>
            </c:dLbl>
            <c:dLbl>
              <c:idx val="32"/>
              <c:layout>
                <c:manualLayout>
                  <c:x val="-2.7953579390886114E-2"/>
                  <c:y val="2.3197528472689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CE12-4DEC-990D-4FC6E2993FBA}"/>
                </c:ext>
              </c:extLst>
            </c:dLbl>
            <c:dLbl>
              <c:idx val="33"/>
              <c:layout>
                <c:manualLayout>
                  <c:x val="-2.1009206453132197E-2"/>
                  <c:y val="-2.752709473722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CE12-4DEC-990D-4FC6E2993FBA}"/>
                </c:ext>
              </c:extLst>
            </c:dLbl>
            <c:dLbl>
              <c:idx val="34"/>
              <c:layout>
                <c:manualLayout>
                  <c:x val="-9.8821924467872475E-3"/>
                  <c:y val="3.03774632299081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329260153769265E-2"/>
                      <c:h val="5.12984568028472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5-CE12-4DEC-990D-4FC6E2993F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2'!$B$22:$AJ$23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2'!$B$25:$AJ$25</c:f>
              <c:numCache>
                <c:formatCode>#\ ##0,0</c:formatCode>
                <c:ptCount val="35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 formatCode="0,0">
                  <c:v>90.415711128050958</c:v>
                </c:pt>
                <c:pt idx="25" formatCode="0,0">
                  <c:v>92.544788099159774</c:v>
                </c:pt>
                <c:pt idx="26" formatCode="0,0">
                  <c:v>123.33461185332185</c:v>
                </c:pt>
                <c:pt idx="27" formatCode="0,0">
                  <c:v>145.62616468779689</c:v>
                </c:pt>
                <c:pt idx="28" formatCode="0,0">
                  <c:v>129.53315145310887</c:v>
                </c:pt>
                <c:pt idx="29" formatCode="0,0">
                  <c:v>119.63933960141166</c:v>
                </c:pt>
                <c:pt idx="30" formatCode="0,0">
                  <c:v>125.94594158412818</c:v>
                </c:pt>
                <c:pt idx="31" formatCode="0,0">
                  <c:v>144.1501097818028</c:v>
                </c:pt>
                <c:pt idx="32" formatCode="0,0">
                  <c:v>138.93269924268836</c:v>
                </c:pt>
                <c:pt idx="33" formatCode="0,0">
                  <c:v>141.27323252884267</c:v>
                </c:pt>
                <c:pt idx="34" formatCode="0,0">
                  <c:v>138.861238067572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400640"/>
        <c:axId val="184401200"/>
      </c:lineChart>
      <c:catAx>
        <c:axId val="1844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401200"/>
        <c:crossesAt val="50"/>
        <c:auto val="0"/>
        <c:lblAlgn val="ctr"/>
        <c:lblOffset val="100"/>
        <c:noMultiLvlLbl val="0"/>
      </c:catAx>
      <c:valAx>
        <c:axId val="184401200"/>
        <c:scaling>
          <c:orientation val="minMax"/>
          <c:max val="170"/>
          <c:min val="5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4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3052832290930815E-2"/>
          <c:y val="0.9299806241497299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 - noiembrie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0,0</c:formatCode>
                <c:ptCount val="5"/>
                <c:pt idx="0">
                  <c:v>8.8000000000000007</c:v>
                </c:pt>
                <c:pt idx="1">
                  <c:v>5.0999999999999996</c:v>
                </c:pt>
                <c:pt idx="2">
                  <c:v>84.9</c:v>
                </c:pt>
                <c:pt idx="3">
                  <c:v>1.2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 - noiembrie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0,0</c:formatCode>
                <c:ptCount val="5"/>
                <c:pt idx="0">
                  <c:v>7</c:v>
                </c:pt>
                <c:pt idx="1">
                  <c:v>2.9</c:v>
                </c:pt>
                <c:pt idx="2">
                  <c:v>89</c:v>
                </c:pt>
                <c:pt idx="3">
                  <c:v>1.1000000000000001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 - noiembrie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0,0</c:formatCode>
                <c:ptCount val="5"/>
                <c:pt idx="0">
                  <c:v>6.7</c:v>
                </c:pt>
                <c:pt idx="1">
                  <c:v>4.5</c:v>
                </c:pt>
                <c:pt idx="2">
                  <c:v>87.1</c:v>
                </c:pt>
                <c:pt idx="3">
                  <c:v>1.6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 - noiembrie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0,0</c:formatCode>
                <c:ptCount val="5"/>
                <c:pt idx="0">
                  <c:v>6.7</c:v>
                </c:pt>
                <c:pt idx="1">
                  <c:v>4.3</c:v>
                </c:pt>
                <c:pt idx="2">
                  <c:v>87.2</c:v>
                </c:pt>
                <c:pt idx="3">
                  <c:v>1.8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 - noiembrie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0,0</c:formatCode>
                <c:ptCount val="5"/>
                <c:pt idx="0">
                  <c:v>7.8</c:v>
                </c:pt>
                <c:pt idx="1">
                  <c:v>3.5</c:v>
                </c:pt>
                <c:pt idx="2">
                  <c:v>86.2</c:v>
                </c:pt>
                <c:pt idx="3">
                  <c:v>2.4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 - noiembrie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0,0</c:formatCode>
                <c:ptCount val="5"/>
                <c:pt idx="0">
                  <c:v>7.5</c:v>
                </c:pt>
                <c:pt idx="1">
                  <c:v>3.1</c:v>
                </c:pt>
                <c:pt idx="2">
                  <c:v>87.8</c:v>
                </c:pt>
                <c:pt idx="3">
                  <c:v>1.4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892352"/>
        <c:axId val="184892912"/>
      </c:barChart>
      <c:catAx>
        <c:axId val="184892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92912"/>
        <c:crossesAt val="0"/>
        <c:auto val="1"/>
        <c:lblAlgn val="ctr"/>
        <c:lblOffset val="100"/>
        <c:noMultiLvlLbl val="0"/>
      </c:catAx>
      <c:valAx>
        <c:axId val="18489291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92352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4'!$B$21:$G$21</c:f>
              <c:numCache>
                <c:formatCode>0,0</c:formatCode>
                <c:ptCount val="6"/>
                <c:pt idx="0">
                  <c:v>58.9</c:v>
                </c:pt>
                <c:pt idx="1">
                  <c:v>60</c:v>
                </c:pt>
                <c:pt idx="2">
                  <c:v>66.400000000000006</c:v>
                </c:pt>
                <c:pt idx="3">
                  <c:v>63.9</c:v>
                </c:pt>
                <c:pt idx="4">
                  <c:v>66.8</c:v>
                </c:pt>
                <c:pt idx="5">
                  <c:v>61.2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4'!$B$22:$G$22</c:f>
              <c:numCache>
                <c:formatCode>0,0</c:formatCode>
                <c:ptCount val="6"/>
                <c:pt idx="0">
                  <c:v>20.6</c:v>
                </c:pt>
                <c:pt idx="1">
                  <c:v>19.5</c:v>
                </c:pt>
                <c:pt idx="2">
                  <c:v>15.5</c:v>
                </c:pt>
                <c:pt idx="3">
                  <c:v>15.8</c:v>
                </c:pt>
                <c:pt idx="4">
                  <c:v>15.1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noiembrie 2016</c:v>
                </c:pt>
                <c:pt idx="1">
                  <c:v>Ianuarie - noiembrie 2017</c:v>
                </c:pt>
                <c:pt idx="2">
                  <c:v>Ianuarie - noiembrie 2018</c:v>
                </c:pt>
                <c:pt idx="3">
                  <c:v>Ianuarie - noiembrie 2019</c:v>
                </c:pt>
                <c:pt idx="4">
                  <c:v>Ianuarie - noiembrie 2020</c:v>
                </c:pt>
                <c:pt idx="5">
                  <c:v>Ianuarie - noiembrie 2021</c:v>
                </c:pt>
              </c:strCache>
            </c:strRef>
          </c:cat>
          <c:val>
            <c:numRef>
              <c:f>'Figura 4'!$B$23:$G$23</c:f>
              <c:numCache>
                <c:formatCode>0,0</c:formatCode>
                <c:ptCount val="6"/>
                <c:pt idx="0">
                  <c:v>20.5</c:v>
                </c:pt>
                <c:pt idx="1">
                  <c:v>20.5</c:v>
                </c:pt>
                <c:pt idx="2">
                  <c:v>18.100000000000001</c:v>
                </c:pt>
                <c:pt idx="3">
                  <c:v>20.3</c:v>
                </c:pt>
                <c:pt idx="4">
                  <c:v>18.100000000000001</c:v>
                </c:pt>
                <c:pt idx="5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896832"/>
        <c:axId val="184897392"/>
      </c:barChart>
      <c:catAx>
        <c:axId val="184896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97392"/>
        <c:crosses val="autoZero"/>
        <c:auto val="1"/>
        <c:lblAlgn val="ctr"/>
        <c:lblOffset val="100"/>
        <c:noMultiLvlLbl val="0"/>
      </c:catAx>
      <c:valAx>
        <c:axId val="184897392"/>
        <c:scaling>
          <c:orientation val="minMax"/>
          <c:max val="100"/>
        </c:scaling>
        <c:delete val="0"/>
        <c:axPos val="l"/>
        <c:numFmt formatCode="#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896832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 Ianuarie - noiembrie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Ungaria</c:v>
                </c:pt>
                <c:pt idx="14">
                  <c:v>Grecia</c:v>
                </c:pt>
                <c:pt idx="15">
                  <c:v>Olanda</c:v>
                </c:pt>
                <c:pt idx="16">
                  <c:v>S.U.A.</c:v>
                </c:pt>
                <c:pt idx="17">
                  <c:v>Franța</c:v>
                </c:pt>
                <c:pt idx="18">
                  <c:v>Liban</c:v>
                </c:pt>
              </c:strCache>
            </c:strRef>
          </c:cat>
          <c:val>
            <c:numRef>
              <c:f>'Figura 5'!$B$24:$B$42</c:f>
              <c:numCache>
                <c:formatCode>0,0</c:formatCode>
                <c:ptCount val="19"/>
                <c:pt idx="0">
                  <c:v>25</c:v>
                </c:pt>
                <c:pt idx="1">
                  <c:v>2.9</c:v>
                </c:pt>
                <c:pt idx="2">
                  <c:v>11.7</c:v>
                </c:pt>
                <c:pt idx="3">
                  <c:v>6.2</c:v>
                </c:pt>
                <c:pt idx="4">
                  <c:v>9.8000000000000007</c:v>
                </c:pt>
                <c:pt idx="5">
                  <c:v>2.2000000000000002</c:v>
                </c:pt>
                <c:pt idx="6">
                  <c:v>3.6</c:v>
                </c:pt>
                <c:pt idx="7">
                  <c:v>2.5</c:v>
                </c:pt>
                <c:pt idx="8">
                  <c:v>1.4</c:v>
                </c:pt>
                <c:pt idx="9">
                  <c:v>3.6</c:v>
                </c:pt>
                <c:pt idx="10">
                  <c:v>5.0999999999999996</c:v>
                </c:pt>
                <c:pt idx="11">
                  <c:v>5.9</c:v>
                </c:pt>
                <c:pt idx="12">
                  <c:v>0.7</c:v>
                </c:pt>
                <c:pt idx="13">
                  <c:v>0.4</c:v>
                </c:pt>
                <c:pt idx="14">
                  <c:v>1.4</c:v>
                </c:pt>
                <c:pt idx="15">
                  <c:v>1.3</c:v>
                </c:pt>
                <c:pt idx="16">
                  <c:v>0.8</c:v>
                </c:pt>
                <c:pt idx="17">
                  <c:v>2.1</c:v>
                </c:pt>
                <c:pt idx="18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 - noiembrie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Ungaria</c:v>
                </c:pt>
                <c:pt idx="14">
                  <c:v>Grecia</c:v>
                </c:pt>
                <c:pt idx="15">
                  <c:v>Olanda</c:v>
                </c:pt>
                <c:pt idx="16">
                  <c:v>S.U.A.</c:v>
                </c:pt>
                <c:pt idx="17">
                  <c:v>Franța</c:v>
                </c:pt>
                <c:pt idx="18">
                  <c:v>Liban</c:v>
                </c:pt>
              </c:strCache>
            </c:strRef>
          </c:cat>
          <c:val>
            <c:numRef>
              <c:f>'Figura 5'!$C$24:$C$42</c:f>
              <c:numCache>
                <c:formatCode>0,0</c:formatCode>
                <c:ptCount val="19"/>
                <c:pt idx="0">
                  <c:v>24.9</c:v>
                </c:pt>
                <c:pt idx="1">
                  <c:v>4</c:v>
                </c:pt>
                <c:pt idx="2">
                  <c:v>10.9</c:v>
                </c:pt>
                <c:pt idx="3">
                  <c:v>6.8</c:v>
                </c:pt>
                <c:pt idx="4">
                  <c:v>9.8000000000000007</c:v>
                </c:pt>
                <c:pt idx="5">
                  <c:v>1.7</c:v>
                </c:pt>
                <c:pt idx="6">
                  <c:v>4.3</c:v>
                </c:pt>
                <c:pt idx="7">
                  <c:v>2.7</c:v>
                </c:pt>
                <c:pt idx="8">
                  <c:v>1.2</c:v>
                </c:pt>
                <c:pt idx="9">
                  <c:v>3.3</c:v>
                </c:pt>
                <c:pt idx="10">
                  <c:v>4.5999999999999996</c:v>
                </c:pt>
                <c:pt idx="11">
                  <c:v>5.7</c:v>
                </c:pt>
                <c:pt idx="12">
                  <c:v>1</c:v>
                </c:pt>
                <c:pt idx="13">
                  <c:v>0.4</c:v>
                </c:pt>
                <c:pt idx="14">
                  <c:v>1.3</c:v>
                </c:pt>
                <c:pt idx="15">
                  <c:v>1.1000000000000001</c:v>
                </c:pt>
                <c:pt idx="16">
                  <c:v>0.8</c:v>
                </c:pt>
                <c:pt idx="17">
                  <c:v>1.9</c:v>
                </c:pt>
                <c:pt idx="1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 - noiembrie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Ungaria</c:v>
                </c:pt>
                <c:pt idx="14">
                  <c:v>Grecia</c:v>
                </c:pt>
                <c:pt idx="15">
                  <c:v>Olanda</c:v>
                </c:pt>
                <c:pt idx="16">
                  <c:v>S.U.A.</c:v>
                </c:pt>
                <c:pt idx="17">
                  <c:v>Franța</c:v>
                </c:pt>
                <c:pt idx="18">
                  <c:v>Liban</c:v>
                </c:pt>
              </c:strCache>
            </c:strRef>
          </c:cat>
          <c:val>
            <c:numRef>
              <c:f>'Figura 5'!$D$24:$D$42</c:f>
              <c:numCache>
                <c:formatCode>0,0</c:formatCode>
                <c:ptCount val="19"/>
                <c:pt idx="0">
                  <c:v>29.3</c:v>
                </c:pt>
                <c:pt idx="1">
                  <c:v>3.5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11.6</c:v>
                </c:pt>
                <c:pt idx="5">
                  <c:v>2.1</c:v>
                </c:pt>
                <c:pt idx="6">
                  <c:v>3.6</c:v>
                </c:pt>
                <c:pt idx="7">
                  <c:v>2.9</c:v>
                </c:pt>
                <c:pt idx="8">
                  <c:v>1.6</c:v>
                </c:pt>
                <c:pt idx="9">
                  <c:v>1.8</c:v>
                </c:pt>
                <c:pt idx="10">
                  <c:v>3.3</c:v>
                </c:pt>
                <c:pt idx="11">
                  <c:v>3</c:v>
                </c:pt>
                <c:pt idx="12">
                  <c:v>1</c:v>
                </c:pt>
                <c:pt idx="13">
                  <c:v>0.3</c:v>
                </c:pt>
                <c:pt idx="14">
                  <c:v>1.3</c:v>
                </c:pt>
                <c:pt idx="15">
                  <c:v>1.4</c:v>
                </c:pt>
                <c:pt idx="16">
                  <c:v>0.8</c:v>
                </c:pt>
                <c:pt idx="17">
                  <c:v>1.8</c:v>
                </c:pt>
                <c:pt idx="18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 Ianuarie - noiembrie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Ungaria</c:v>
                </c:pt>
                <c:pt idx="14">
                  <c:v>Grecia</c:v>
                </c:pt>
                <c:pt idx="15">
                  <c:v>Olanda</c:v>
                </c:pt>
                <c:pt idx="16">
                  <c:v>S.U.A.</c:v>
                </c:pt>
                <c:pt idx="17">
                  <c:v>Franța</c:v>
                </c:pt>
                <c:pt idx="18">
                  <c:v>Liban</c:v>
                </c:pt>
              </c:strCache>
            </c:strRef>
          </c:cat>
          <c:val>
            <c:numRef>
              <c:f>'Figura 5'!$E$24:$E$42</c:f>
              <c:numCache>
                <c:formatCode>0,0</c:formatCode>
                <c:ptCount val="19"/>
                <c:pt idx="0">
                  <c:v>27.8</c:v>
                </c:pt>
                <c:pt idx="1">
                  <c:v>6.4</c:v>
                </c:pt>
                <c:pt idx="2">
                  <c:v>9.1999999999999993</c:v>
                </c:pt>
                <c:pt idx="3">
                  <c:v>8.9</c:v>
                </c:pt>
                <c:pt idx="4">
                  <c:v>9.5</c:v>
                </c:pt>
                <c:pt idx="5">
                  <c:v>3</c:v>
                </c:pt>
                <c:pt idx="6">
                  <c:v>4.0999999999999996</c:v>
                </c:pt>
                <c:pt idx="7">
                  <c:v>2.9</c:v>
                </c:pt>
                <c:pt idx="8">
                  <c:v>2.2999999999999998</c:v>
                </c:pt>
                <c:pt idx="9">
                  <c:v>2.1</c:v>
                </c:pt>
                <c:pt idx="10">
                  <c:v>2.9</c:v>
                </c:pt>
                <c:pt idx="11">
                  <c:v>1.8</c:v>
                </c:pt>
                <c:pt idx="12">
                  <c:v>1.3</c:v>
                </c:pt>
                <c:pt idx="13">
                  <c:v>0.4</c:v>
                </c:pt>
                <c:pt idx="14">
                  <c:v>1.4</c:v>
                </c:pt>
                <c:pt idx="15">
                  <c:v>1.3</c:v>
                </c:pt>
                <c:pt idx="16">
                  <c:v>0.9</c:v>
                </c:pt>
                <c:pt idx="17">
                  <c:v>1.2</c:v>
                </c:pt>
                <c:pt idx="1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 - noiembrie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Ungaria</c:v>
                </c:pt>
                <c:pt idx="14">
                  <c:v>Grecia</c:v>
                </c:pt>
                <c:pt idx="15">
                  <c:v>Olanda</c:v>
                </c:pt>
                <c:pt idx="16">
                  <c:v>S.U.A.</c:v>
                </c:pt>
                <c:pt idx="17">
                  <c:v>Franța</c:v>
                </c:pt>
                <c:pt idx="18">
                  <c:v>Liban</c:v>
                </c:pt>
              </c:strCache>
            </c:strRef>
          </c:cat>
          <c:val>
            <c:numRef>
              <c:f>'Figura 5'!$F$24:$F$42</c:f>
              <c:numCache>
                <c:formatCode>0,0</c:formatCode>
                <c:ptCount val="19"/>
                <c:pt idx="0">
                  <c:v>28.6</c:v>
                </c:pt>
                <c:pt idx="1">
                  <c:v>6.7</c:v>
                </c:pt>
                <c:pt idx="2">
                  <c:v>8.8000000000000007</c:v>
                </c:pt>
                <c:pt idx="3">
                  <c:v>9.3000000000000007</c:v>
                </c:pt>
                <c:pt idx="4">
                  <c:v>8.6999999999999993</c:v>
                </c:pt>
                <c:pt idx="5">
                  <c:v>2.5</c:v>
                </c:pt>
                <c:pt idx="6">
                  <c:v>4.5</c:v>
                </c:pt>
                <c:pt idx="7">
                  <c:v>2.6</c:v>
                </c:pt>
                <c:pt idx="8">
                  <c:v>3.3</c:v>
                </c:pt>
                <c:pt idx="9">
                  <c:v>2.4</c:v>
                </c:pt>
                <c:pt idx="10">
                  <c:v>2.7</c:v>
                </c:pt>
                <c:pt idx="11">
                  <c:v>1.7</c:v>
                </c:pt>
                <c:pt idx="12">
                  <c:v>1.3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1.5</c:v>
                </c:pt>
                <c:pt idx="16">
                  <c:v>1.1000000000000001</c:v>
                </c:pt>
                <c:pt idx="17">
                  <c:v>1.2</c:v>
                </c:pt>
                <c:pt idx="1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 - noiembrie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Turcia</c:v>
                </c:pt>
                <c:pt idx="2">
                  <c:v>Federația Rusă</c:v>
                </c:pt>
                <c:pt idx="3">
                  <c:v>Germania</c:v>
                </c:pt>
                <c:pt idx="4">
                  <c:v>Italia</c:v>
                </c:pt>
                <c:pt idx="5">
                  <c:v>Elveția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Bulgaria</c:v>
                </c:pt>
                <c:pt idx="10">
                  <c:v>Belarus</c:v>
                </c:pt>
                <c:pt idx="11">
                  <c:v>Regatul Unit </c:v>
                </c:pt>
                <c:pt idx="12">
                  <c:v>Spania</c:v>
                </c:pt>
                <c:pt idx="13">
                  <c:v>Ungaria</c:v>
                </c:pt>
                <c:pt idx="14">
                  <c:v>Grecia</c:v>
                </c:pt>
                <c:pt idx="15">
                  <c:v>Olanda</c:v>
                </c:pt>
                <c:pt idx="16">
                  <c:v>S.U.A.</c:v>
                </c:pt>
                <c:pt idx="17">
                  <c:v>Franța</c:v>
                </c:pt>
                <c:pt idx="18">
                  <c:v>Liban</c:v>
                </c:pt>
              </c:strCache>
            </c:strRef>
          </c:cat>
          <c:val>
            <c:numRef>
              <c:f>'Figura 5'!$G$24:$G$42</c:f>
              <c:numCache>
                <c:formatCode>0,0</c:formatCode>
                <c:ptCount val="19"/>
                <c:pt idx="0">
                  <c:v>26.7</c:v>
                </c:pt>
                <c:pt idx="1">
                  <c:v>9.6999999999999993</c:v>
                </c:pt>
                <c:pt idx="2">
                  <c:v>8.9</c:v>
                </c:pt>
                <c:pt idx="3">
                  <c:v>8.1999999999999993</c:v>
                </c:pt>
                <c:pt idx="4">
                  <c:v>7.8</c:v>
                </c:pt>
                <c:pt idx="5">
                  <c:v>3.6</c:v>
                </c:pt>
                <c:pt idx="6">
                  <c:v>3.5</c:v>
                </c:pt>
                <c:pt idx="7">
                  <c:v>3</c:v>
                </c:pt>
                <c:pt idx="8">
                  <c:v>2.6</c:v>
                </c:pt>
                <c:pt idx="9">
                  <c:v>2.2999999999999998</c:v>
                </c:pt>
                <c:pt idx="10">
                  <c:v>2.1</c:v>
                </c:pt>
                <c:pt idx="11">
                  <c:v>2</c:v>
                </c:pt>
                <c:pt idx="12">
                  <c:v>1.6</c:v>
                </c:pt>
                <c:pt idx="13">
                  <c:v>1.4</c:v>
                </c:pt>
                <c:pt idx="14">
                  <c:v>1.3</c:v>
                </c:pt>
                <c:pt idx="15">
                  <c:v>1.2</c:v>
                </c:pt>
                <c:pt idx="16">
                  <c:v>1</c:v>
                </c:pt>
                <c:pt idx="17">
                  <c:v>1</c:v>
                </c:pt>
                <c:pt idx="18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311168"/>
        <c:axId val="185311728"/>
      </c:barChart>
      <c:catAx>
        <c:axId val="1853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311728"/>
        <c:crosses val="autoZero"/>
        <c:auto val="1"/>
        <c:lblAlgn val="ctr"/>
        <c:lblOffset val="100"/>
        <c:noMultiLvlLbl val="0"/>
      </c:catAx>
      <c:valAx>
        <c:axId val="185311728"/>
        <c:scaling>
          <c:orientation val="minMax"/>
          <c:max val="3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311168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367639180296727"/>
          <c:y val="0.87016811283858642"/>
          <c:w val="0.74175126090956245"/>
          <c:h val="0.12001814220814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 baseline="0">
                <a:solidFill>
                  <a:sysClr val="windowText" lastClr="000000"/>
                </a:solidFill>
              </a:rPr>
              <a:t>Ianuarie -</a:t>
            </a:r>
            <a:r>
              <a:rPr lang="en-US" sz="800" b="1" baseline="0">
                <a:solidFill>
                  <a:sysClr val="windowText" lastClr="000000"/>
                </a:solidFill>
              </a:rPr>
              <a:t>noiembrie</a:t>
            </a:r>
            <a:r>
              <a:rPr lang="ro-RO" sz="800" b="1" baseline="0">
                <a:solidFill>
                  <a:sysClr val="windowText" lastClr="000000"/>
                </a:solidFill>
              </a:rPr>
              <a:t> </a:t>
            </a:r>
            <a:r>
              <a:rPr lang="en-US" sz="800" b="1" baseline="0">
                <a:solidFill>
                  <a:sysClr val="windowText" lastClr="000000"/>
                </a:solidFill>
              </a:rPr>
              <a:t> </a:t>
            </a:r>
            <a:r>
              <a:rPr lang="ro-RO" sz="800" b="1" baseline="0">
                <a:solidFill>
                  <a:sysClr val="windowText" lastClr="000000"/>
                </a:solidFill>
              </a:rPr>
              <a:t>2020</a:t>
            </a:r>
            <a:endParaRPr lang="en-US" sz="800" b="1" baseline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070144854115297"/>
          <c:y val="1.2454150778322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6'!$B$26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1.287533502756587E-2"/>
                  <c:y val="8.3597480449212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88973600522158"/>
                      <c:h val="0.163458198025949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1.2612451221374976E-2"/>
                  <c:y val="-6.4979968465789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2.5584996319904456E-2"/>
                  <c:y val="-0.115796016196105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3.0499742144940205E-2"/>
                  <c:y val="-4.23114247217614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2.9098723770639781E-2"/>
                  <c:y val="1.1644673645588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6.1901802853452884E-2"/>
                  <c:y val="1.1242965796446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89304157963768"/>
                      <c:h val="0.159204683994750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-2.4915357802496912E-2"/>
                  <c:y val="-4.1139178624365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1.6395172825619019E-3"/>
                  <c:y val="-6.5822324789132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0577288949992"/>
                      <c:h val="0.245371778475930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2.6754014550806554E-3"/>
                  <c:y val="0.100562901335446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6'!$A$27:$A$35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6'!$B$27:$B$35</c:f>
              <c:numCache>
                <c:formatCode>0,0</c:formatCode>
                <c:ptCount val="9"/>
                <c:pt idx="0">
                  <c:v>21.7</c:v>
                </c:pt>
                <c:pt idx="1">
                  <c:v>7.6</c:v>
                </c:pt>
                <c:pt idx="2">
                  <c:v>10.5</c:v>
                </c:pt>
                <c:pt idx="3">
                  <c:v>0.5</c:v>
                </c:pt>
                <c:pt idx="4">
                  <c:v>4.2</c:v>
                </c:pt>
                <c:pt idx="5">
                  <c:v>5.0999999999999996</c:v>
                </c:pt>
                <c:pt idx="6">
                  <c:v>7.1</c:v>
                </c:pt>
                <c:pt idx="7">
                  <c:v>22.4</c:v>
                </c:pt>
                <c:pt idx="8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</a:t>
            </a: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ro-RO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noiembrie  </a:t>
            </a:r>
            <a:r>
              <a:rPr lang="ro-RO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661870125346929"/>
          <c:y val="1.9724713726548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6'!$B$37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1.4455764363972346E-2"/>
                  <c:y val="5.1529066564656507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685993418757649"/>
                      <c:h val="0.17126786595259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8.0900798468707714E-3"/>
                  <c:y val="-8.1836871219268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8804107152662"/>
                      <c:h val="0.15810011265276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3.7647312195926333E-2"/>
                  <c:y val="-0.10046030058436471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2.4484719366336592E-2"/>
                  <c:y val="-2.91113872907735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2801837270337"/>
                      <c:h val="0.17413017617402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-1.650729672519332E-2"/>
                  <c:y val="3.92277763227233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-8.5251473669475872E-2"/>
                  <c:y val="2.330797057835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3.0578780492682201E-3"/>
                  <c:y val="-8.9868081695403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20800524934378"/>
                      <c:h val="0.2273305764836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-1.7635988991980829E-2"/>
                  <c:y val="-4.2166926530186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9538602030364"/>
                      <c:h val="0.280530954540710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-2.4685581934534555E-3"/>
                  <c:y val="7.0245484252802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1522151146386"/>
                      <c:h val="0.249879702646059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6'!$A$38:$A$46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6'!$B$38:$B$46</c:f>
              <c:numCache>
                <c:formatCode>0,0</c:formatCode>
                <c:ptCount val="9"/>
                <c:pt idx="0">
                  <c:v>25.2</c:v>
                </c:pt>
                <c:pt idx="1">
                  <c:v>6.7</c:v>
                </c:pt>
                <c:pt idx="2">
                  <c:v>11.3</c:v>
                </c:pt>
                <c:pt idx="3">
                  <c:v>0.5</c:v>
                </c:pt>
                <c:pt idx="4">
                  <c:v>3.5</c:v>
                </c:pt>
                <c:pt idx="5">
                  <c:v>4.9000000000000004</c:v>
                </c:pt>
                <c:pt idx="6">
                  <c:v>8</c:v>
                </c:pt>
                <c:pt idx="7">
                  <c:v>20.7</c:v>
                </c:pt>
                <c:pt idx="8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7'!$B$22:$B$27</c:f>
              <c:numCache>
                <c:formatCode>#\ ##0,0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7'!$C$22:$C$27</c:f>
              <c:numCache>
                <c:formatCode>#\ ##0,0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7'!$D$22:$D$27</c:f>
              <c:numCache>
                <c:formatCode>#\ ##0,0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7'!$E$22:$E$27</c:f>
              <c:numCache>
                <c:formatCode>#\ ##0,0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  <c:pt idx="5">
                  <c:v>562.20000000000005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7'!$F$22:$F$27</c:f>
              <c:numCache>
                <c:formatCode>#\ ##0,0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  <c:pt idx="5">
                  <c:v>563.4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7'!$G$22:$G$27</c:f>
              <c:numCache>
                <c:formatCode>#\ ##0,0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  <c:pt idx="5">
                  <c:v>589.6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7'!$H$22:$H$27</c:f>
              <c:numCache>
                <c:formatCode>#\ ##0,0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496.6</c:v>
                </c:pt>
                <c:pt idx="5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7'!$I$22:$I$27</c:f>
              <c:numCache>
                <c:formatCode>#\ ##0,0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  <c:pt idx="5">
                  <c:v>574.9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7'!$J$22:$J$27</c:f>
              <c:numCache>
                <c:formatCode>#\ ##0,0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508.3</c:v>
                </c:pt>
                <c:pt idx="5">
                  <c:v>669.7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7'!$K$22:$K$27</c:f>
              <c:numCache>
                <c:formatCode>#\ ##0,0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  <c:pt idx="5">
                  <c:v>645.9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7'!$L$22:$L$27</c:f>
              <c:numCache>
                <c:formatCode>#\ ##0,0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  <c:pt idx="5">
                  <c:v>700.9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7'!$M$22:$M$27</c:f>
              <c:numCache>
                <c:formatCode>#\ ##0,0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903264"/>
        <c:axId val="185903824"/>
      </c:barChart>
      <c:catAx>
        <c:axId val="18590326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903824"/>
        <c:crosses val="autoZero"/>
        <c:auto val="0"/>
        <c:lblAlgn val="ctr"/>
        <c:lblOffset val="100"/>
        <c:tickLblSkip val="1"/>
        <c:noMultiLvlLbl val="0"/>
      </c:catAx>
      <c:valAx>
        <c:axId val="185903824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90326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1471125269646625"/>
          <c:h val="0.67606110380261897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4.5141692313841478E-2"/>
                  <c:y val="-3.4324747261481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3.4394260362124784E-2"/>
                  <c:y val="-3.6512912226665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3.0079946903188826E-2"/>
                  <c:y val="-2.9653128202145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2.6794302996389411E-2"/>
                  <c:y val="3.13016551164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3.2209400549069296E-2"/>
                  <c:y val="3.734696649888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3.9455214037331661E-2"/>
                  <c:y val="-3.330071122813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3.1730151751335652E-2"/>
                  <c:y val="-3.1454664381463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3.1824599511268058E-2"/>
                  <c:y val="2.7723638974121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3.7130509548375421E-2"/>
                  <c:y val="-3.974073907240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3.28926016227667E-2"/>
                  <c:y val="3.159806916879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3.28926016227667E-2"/>
                  <c:y val="-3.080752129958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1.2918967025673515E-2"/>
                  <c:y val="7.68319773114766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5.1585062019531822E-2"/>
                  <c:y val="-1.135944757693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5.06305525097554E-2"/>
                  <c:y val="-2.776025236593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5488761874308858E-2"/>
                  <c:y val="-1.818326336968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676459224322974E-2"/>
                  <c:y val="-3.1006897008536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2.9989474665920567E-2"/>
                  <c:y val="-2.42334219263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4.5779207802070551E-2"/>
                  <c:y val="-3.2330658983084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3871990620461784E-2"/>
                  <c:y val="-3.846692664994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4.1176439239511427E-2"/>
                  <c:y val="-2.9234705283290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1.0917436081911081E-2"/>
                  <c:y val="1.39427208822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2.8725768416003838E-2"/>
                  <c:y val="3.3899500732755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2.6887032521949985E-2"/>
                  <c:y val="3.2724773756592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3.2618426773956599E-2"/>
                  <c:y val="-3.0315043427142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BA-48CE-B2AE-801282B7B230}"/>
                </c:ext>
              </c:extLst>
            </c:dLbl>
            <c:dLbl>
              <c:idx val="30"/>
              <c:layout>
                <c:manualLayout>
                  <c:x val="-2.4330442197263415E-2"/>
                  <c:y val="2.7168086639012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C-4954-B7BA-1B3D8193EA75}"/>
                </c:ext>
              </c:extLst>
            </c:dLbl>
            <c:dLbl>
              <c:idx val="31"/>
              <c:layout>
                <c:manualLayout>
                  <c:x val="-1.8406951431940054E-2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BA-48CE-B2AE-801282B7B230}"/>
                </c:ext>
              </c:extLst>
            </c:dLbl>
            <c:dLbl>
              <c:idx val="32"/>
              <c:layout>
                <c:manualLayout>
                  <c:x val="-3.5553060311593707E-2"/>
                  <c:y val="-2.354355547827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BA-48CE-B2AE-801282B7B230}"/>
                </c:ext>
              </c:extLst>
            </c:dLbl>
            <c:dLbl>
              <c:idx val="33"/>
              <c:layout>
                <c:manualLayout>
                  <c:x val="-2.502137545574008E-2"/>
                  <c:y val="3.9547927171564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BA-48CE-B2AE-801282B7B230}"/>
                </c:ext>
              </c:extLst>
            </c:dLbl>
            <c:dLbl>
              <c:idx val="34"/>
              <c:layout>
                <c:manualLayout>
                  <c:x val="-4.7031626925587668E-4"/>
                  <c:y val="2.692963064159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BA-48CE-B2AE-801282B7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8'!$B$23:$AJ$24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8'!$B$25:$AJ$25</c:f>
              <c:numCache>
                <c:formatCode>#\ ##0,0</c:formatCode>
                <c:ptCount val="35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130.56565598353049</c:v>
                </c:pt>
                <c:pt idx="26">
                  <c:v>120.83026196604835</c:v>
                </c:pt>
                <c:pt idx="27">
                  <c:v>89.231037795592442</c:v>
                </c:pt>
                <c:pt idx="28">
                  <c:v>100.2114807539604</c:v>
                </c:pt>
                <c:pt idx="29" formatCode="0,0">
                  <c:v>104.66057637383682</c:v>
                </c:pt>
                <c:pt idx="30" formatCode="0,0">
                  <c:v>95.30942428771003</c:v>
                </c:pt>
                <c:pt idx="31" formatCode="0,0">
                  <c:v>102.30249040432689</c:v>
                </c:pt>
                <c:pt idx="32" formatCode="0,0">
                  <c:v>116.47910704981066</c:v>
                </c:pt>
                <c:pt idx="33" formatCode="0,0">
                  <c:v>96.491276111547222</c:v>
                </c:pt>
                <c:pt idx="34" formatCode="0,0">
                  <c:v>108.51598620062263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501978496342781E-2"/>
                  <c:y val="3.217930566250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BA-48CE-B2AE-801282B7B230}"/>
                </c:ext>
              </c:extLst>
            </c:dLbl>
            <c:dLbl>
              <c:idx val="1"/>
              <c:layout>
                <c:manualLayout>
                  <c:x val="-2.7799805481167644E-2"/>
                  <c:y val="-2.569297134388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6931665267729862E-2"/>
                  <c:y val="2.856272303501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9720878798779595E-2"/>
                  <c:y val="-2.4597067322420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2.4095287581438106E-2"/>
                  <c:y val="-3.113241759606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2.3283904232783086E-2"/>
                  <c:y val="-3.606878793147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5101722690755024E-2"/>
                  <c:y val="4.4001092923321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3.5303968983572548E-2"/>
                  <c:y val="4.722157364398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2.8802049611172675E-2"/>
                  <c:y val="-3.4842878682717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2.9047726792771594E-2"/>
                  <c:y val="4.114600310207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3.2407248828644493E-2"/>
                  <c:y val="-3.451547279994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258297027592425E-2"/>
                  <c:y val="-2.804971145168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4.7192400442330494E-2"/>
                  <c:y val="1.9150997292530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8825534739191E-3"/>
                  <c:y val="1.55245852041516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5.8651425903190925E-3"/>
                  <c:y val="-4.94332530200294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4.7109742170946517E-2"/>
                  <c:y val="-1.011848282371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168791718294219E-2"/>
                  <c:y val="-2.8108663073267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8012577108064537E-2"/>
                  <c:y val="-3.3084776074914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2.555164741463167E-2"/>
                  <c:y val="3.0805534166273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3.2187137775290781E-2"/>
                  <c:y val="2.95629134686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2015668092250015E-2"/>
                  <c:y val="-3.0394859948500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2.0808026597678615E-2"/>
                  <c:y val="3.6698046813548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8.3516527439146254E-3"/>
                  <c:y val="-1.8180613858598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2.3717974339502103E-2"/>
                  <c:y val="-2.643052899144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5.6903420067416673E-3"/>
                  <c:y val="-7.07618172334136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5.0978134105503572E-2"/>
                  <c:y val="9.6286544623562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BA-48CE-B2AE-801282B7B230}"/>
                </c:ext>
              </c:extLst>
            </c:dLbl>
            <c:dLbl>
              <c:idx val="30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4BA-48CE-B2AE-801282B7B230}"/>
                </c:ext>
              </c:extLst>
            </c:dLbl>
            <c:dLbl>
              <c:idx val="31"/>
              <c:layout>
                <c:manualLayout>
                  <c:x val="-4.2095618309663463E-2"/>
                  <c:y val="-3.1955753164923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BA-48CE-B2AE-801282B7B230}"/>
                </c:ext>
              </c:extLst>
            </c:dLbl>
            <c:dLbl>
              <c:idx val="32"/>
              <c:layout>
                <c:manualLayout>
                  <c:x val="-2.2766032091742661E-2"/>
                  <c:y val="-3.1955753164923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BA-48CE-B2AE-801282B7B230}"/>
                </c:ext>
              </c:extLst>
            </c:dLbl>
            <c:dLbl>
              <c:idx val="33"/>
              <c:layout>
                <c:manualLayout>
                  <c:x val="-2.4664295046156227E-2"/>
                  <c:y val="2.6929630641595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BA-48CE-B2AE-801282B7B230}"/>
                </c:ext>
              </c:extLst>
            </c:dLbl>
            <c:dLbl>
              <c:idx val="34"/>
              <c:layout>
                <c:manualLayout>
                  <c:x val="-6.8195234120139248E-3"/>
                  <c:y val="-3.1955753164923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BA-48CE-B2AE-801282B7B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8'!$B$23:$AJ$24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8'!$B$26:$AJ$26</c:f>
              <c:numCache>
                <c:formatCode>#\ ##0,0</c:formatCode>
                <c:ptCount val="35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 formatCode="0,0">
                  <c:v>105.14366410240868</c:v>
                </c:pt>
                <c:pt idx="25" formatCode="0,0">
                  <c:v>107.56077192573727</c:v>
                </c:pt>
                <c:pt idx="26" formatCode="0,0">
                  <c:v>125.88605526903886</c:v>
                </c:pt>
                <c:pt idx="27" formatCode="0,0">
                  <c:v>196.84765533007069</c:v>
                </c:pt>
                <c:pt idx="28" formatCode="0,0">
                  <c:v>171.05720800538208</c:v>
                </c:pt>
                <c:pt idx="29" formatCode="0,0">
                  <c:v>142.58661575531545</c:v>
                </c:pt>
                <c:pt idx="30" formatCode="0,0">
                  <c:v>113.15935751484174</c:v>
                </c:pt>
                <c:pt idx="31" formatCode="0,0">
                  <c:v>132.58748410958998</c:v>
                </c:pt>
                <c:pt idx="32" formatCode="0,0">
                  <c:v>131.73867209997553</c:v>
                </c:pt>
                <c:pt idx="33" formatCode="0,0">
                  <c:v>130.8629022914788</c:v>
                </c:pt>
                <c:pt idx="34" formatCode="0,0">
                  <c:v>134.04794004256507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907184"/>
        <c:axId val="185907744"/>
      </c:lineChart>
      <c:catAx>
        <c:axId val="18590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907744"/>
        <c:crossesAt val="50"/>
        <c:auto val="1"/>
        <c:lblAlgn val="ctr"/>
        <c:lblOffset val="100"/>
        <c:noMultiLvlLbl val="0"/>
      </c:catAx>
      <c:valAx>
        <c:axId val="185907744"/>
        <c:scaling>
          <c:orientation val="minMax"/>
          <c:min val="50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590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0</xdr:rowOff>
    </xdr:from>
    <xdr:to>
      <xdr:col>10</xdr:col>
      <xdr:colOff>28575</xdr:colOff>
      <xdr:row>18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12</xdr:col>
      <xdr:colOff>504824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6</xdr:col>
      <xdr:colOff>0</xdr:colOff>
      <xdr:row>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</xdr:row>
      <xdr:rowOff>142875</xdr:rowOff>
    </xdr:from>
    <xdr:to>
      <xdr:col>4</xdr:col>
      <xdr:colOff>1009650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19050</xdr:rowOff>
    </xdr:from>
    <xdr:to>
      <xdr:col>6</xdr:col>
      <xdr:colOff>38101</xdr:colOff>
      <xdr:row>21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2</xdr:col>
      <xdr:colOff>9525</xdr:colOff>
      <xdr:row>20</xdr:row>
      <xdr:rowOff>142873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790574</xdr:colOff>
      <xdr:row>2</xdr:row>
      <xdr:rowOff>9526</xdr:rowOff>
    </xdr:from>
    <xdr:to>
      <xdr:col>6</xdr:col>
      <xdr:colOff>390524</xdr:colOff>
      <xdr:row>20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</xdr:row>
      <xdr:rowOff>9524</xdr:rowOff>
    </xdr:from>
    <xdr:to>
      <xdr:col>4</xdr:col>
      <xdr:colOff>409575</xdr:colOff>
      <xdr:row>22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171451</xdr:rowOff>
    </xdr:from>
    <xdr:to>
      <xdr:col>15</xdr:col>
      <xdr:colOff>228600</xdr:colOff>
      <xdr:row>19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0.04507</cdr:x>
      <cdr:y>0.00262</cdr:y>
    </cdr:from>
    <cdr:to>
      <cdr:x>0.1828</cdr:x>
      <cdr:y>0.29619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76527" y="9525"/>
          <a:ext cx="1150518" cy="1068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962025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990600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2</xdr:row>
      <xdr:rowOff>0</xdr:rowOff>
    </xdr:from>
    <xdr:to>
      <xdr:col>5</xdr:col>
      <xdr:colOff>866774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47625</xdr:rowOff>
    </xdr:from>
    <xdr:to>
      <xdr:col>6</xdr:col>
      <xdr:colOff>381001</xdr:colOff>
      <xdr:row>24</xdr:row>
      <xdr:rowOff>28580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95250" y="352425"/>
          <a:ext cx="7277101" cy="3333755"/>
          <a:chOff x="-18147" y="172533"/>
          <a:chExt cx="5285350" cy="269203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-18147" y="172533"/>
          <a:ext cx="2615003" cy="26841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52138" y="187918"/>
          <a:ext cx="2615065" cy="26766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6"/>
  <sheetViews>
    <sheetView tabSelected="1" workbookViewId="0">
      <selection activeCell="A2" sqref="A2:J2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9" width="9.140625" style="3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6384" width="9.140625" style="3"/>
  </cols>
  <sheetData>
    <row r="2" spans="1:13" s="5" customFormat="1" x14ac:dyDescent="0.2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56"/>
      <c r="L2" s="156"/>
      <c r="M2" s="156"/>
    </row>
    <row r="3" spans="1:13" x14ac:dyDescent="0.2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">
      <c r="A4" s="1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x14ac:dyDescent="0.2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x14ac:dyDescent="0.2">
      <c r="A6" s="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x14ac:dyDescent="0.2">
      <c r="A7" s="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">
      <c r="A8" s="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">
      <c r="A9" s="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">
      <c r="A10" s="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">
      <c r="A11" s="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">
      <c r="A12" s="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">
      <c r="A13" s="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x14ac:dyDescent="0.2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x14ac:dyDescent="0.2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x14ac:dyDescent="0.2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4" x14ac:dyDescent="0.2">
      <c r="A17" s="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4" x14ac:dyDescent="0.2">
      <c r="A18" s="1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4" x14ac:dyDescent="0.2">
      <c r="N19" s="6"/>
    </row>
    <row r="20" spans="1:14" x14ac:dyDescent="0.2">
      <c r="A20" s="40" t="s">
        <v>0</v>
      </c>
      <c r="B20" s="66" t="s">
        <v>1</v>
      </c>
      <c r="C20" s="66" t="s">
        <v>2</v>
      </c>
      <c r="D20" s="66" t="s">
        <v>3</v>
      </c>
      <c r="E20" s="66" t="s">
        <v>4</v>
      </c>
      <c r="F20" s="66" t="s">
        <v>5</v>
      </c>
      <c r="G20" s="66" t="s">
        <v>6</v>
      </c>
      <c r="H20" s="66" t="s">
        <v>7</v>
      </c>
      <c r="I20" s="66" t="s">
        <v>8</v>
      </c>
      <c r="J20" s="66" t="s">
        <v>9</v>
      </c>
      <c r="K20" s="66" t="s">
        <v>10</v>
      </c>
      <c r="L20" s="66" t="s">
        <v>11</v>
      </c>
      <c r="M20" s="66" t="s">
        <v>12</v>
      </c>
    </row>
    <row r="21" spans="1:14" x14ac:dyDescent="0.2">
      <c r="A21" s="49">
        <v>2016</v>
      </c>
      <c r="B21" s="61">
        <v>116.8</v>
      </c>
      <c r="C21" s="61">
        <v>138.5</v>
      </c>
      <c r="D21" s="61">
        <v>161.30000000000001</v>
      </c>
      <c r="E21" s="61">
        <v>178.5</v>
      </c>
      <c r="F21" s="61">
        <v>153</v>
      </c>
      <c r="G21" s="61">
        <v>157.4</v>
      </c>
      <c r="H21" s="61">
        <v>165.6</v>
      </c>
      <c r="I21" s="61">
        <v>168</v>
      </c>
      <c r="J21" s="61">
        <v>193.6</v>
      </c>
      <c r="K21" s="61">
        <v>200.8</v>
      </c>
      <c r="L21" s="61">
        <v>217.6</v>
      </c>
      <c r="M21" s="62">
        <v>193.5</v>
      </c>
    </row>
    <row r="22" spans="1:14" x14ac:dyDescent="0.2">
      <c r="A22" s="50">
        <v>2017</v>
      </c>
      <c r="B22" s="61">
        <v>139.5</v>
      </c>
      <c r="C22" s="61">
        <v>176.6</v>
      </c>
      <c r="D22" s="61">
        <v>212.1</v>
      </c>
      <c r="E22" s="61">
        <v>154.19999999999999</v>
      </c>
      <c r="F22" s="61">
        <v>174.7</v>
      </c>
      <c r="G22" s="61">
        <v>171.1</v>
      </c>
      <c r="H22" s="61">
        <v>191.6</v>
      </c>
      <c r="I22" s="61">
        <v>207.9</v>
      </c>
      <c r="J22" s="61">
        <v>223.9</v>
      </c>
      <c r="K22" s="61">
        <v>268.2</v>
      </c>
      <c r="L22" s="61">
        <v>272.10000000000002</v>
      </c>
      <c r="M22" s="62">
        <v>233.1</v>
      </c>
    </row>
    <row r="23" spans="1:14" x14ac:dyDescent="0.2">
      <c r="A23" s="50">
        <v>2018</v>
      </c>
      <c r="B23" s="61">
        <v>220.3</v>
      </c>
      <c r="C23" s="61">
        <v>215.5</v>
      </c>
      <c r="D23" s="61">
        <v>242.1</v>
      </c>
      <c r="E23" s="61">
        <v>199.7</v>
      </c>
      <c r="F23" s="61">
        <v>223</v>
      </c>
      <c r="G23" s="61">
        <v>214.1</v>
      </c>
      <c r="H23" s="61">
        <v>218.8</v>
      </c>
      <c r="I23" s="61">
        <v>218.6</v>
      </c>
      <c r="J23" s="61">
        <v>207.3</v>
      </c>
      <c r="K23" s="61">
        <v>259</v>
      </c>
      <c r="L23" s="61">
        <v>268.89999999999998</v>
      </c>
      <c r="M23" s="62">
        <v>218.8</v>
      </c>
    </row>
    <row r="24" spans="1:14" x14ac:dyDescent="0.2">
      <c r="A24" s="50">
        <v>2019</v>
      </c>
      <c r="B24" s="61">
        <v>234.3</v>
      </c>
      <c r="C24" s="61">
        <v>241.4</v>
      </c>
      <c r="D24" s="61">
        <v>257.2</v>
      </c>
      <c r="E24" s="61">
        <v>215.6</v>
      </c>
      <c r="F24" s="61">
        <v>210.5</v>
      </c>
      <c r="G24" s="61">
        <v>202.2</v>
      </c>
      <c r="H24" s="61">
        <v>220.2</v>
      </c>
      <c r="I24" s="61">
        <v>205.8</v>
      </c>
      <c r="J24" s="61">
        <v>238.8</v>
      </c>
      <c r="K24" s="61">
        <v>268.3</v>
      </c>
      <c r="L24" s="61">
        <v>266.60000000000002</v>
      </c>
      <c r="M24" s="62">
        <v>218.3</v>
      </c>
    </row>
    <row r="25" spans="1:14" x14ac:dyDescent="0.2">
      <c r="A25" s="50">
        <v>2020</v>
      </c>
      <c r="B25" s="61">
        <v>219.5</v>
      </c>
      <c r="C25" s="61">
        <v>245.3</v>
      </c>
      <c r="D25" s="61">
        <v>210.2</v>
      </c>
      <c r="E25" s="61">
        <v>149.80000000000001</v>
      </c>
      <c r="F25" s="61">
        <v>155.69999999999999</v>
      </c>
      <c r="G25" s="61">
        <v>189.6</v>
      </c>
      <c r="H25" s="61">
        <v>191.1</v>
      </c>
      <c r="I25" s="61">
        <v>163.9</v>
      </c>
      <c r="J25" s="61">
        <v>212.3</v>
      </c>
      <c r="K25" s="61">
        <v>249.4</v>
      </c>
      <c r="L25" s="61">
        <v>262</v>
      </c>
      <c r="M25" s="62">
        <v>218.3</v>
      </c>
    </row>
    <row r="26" spans="1:14" x14ac:dyDescent="0.2">
      <c r="A26" s="51">
        <v>2021</v>
      </c>
      <c r="B26" s="63">
        <v>198.4</v>
      </c>
      <c r="C26" s="63">
        <v>227</v>
      </c>
      <c r="D26" s="63">
        <v>259.3</v>
      </c>
      <c r="E26" s="63">
        <v>218.2</v>
      </c>
      <c r="F26" s="63">
        <v>201.7</v>
      </c>
      <c r="G26" s="63">
        <v>226.8</v>
      </c>
      <c r="H26" s="63">
        <v>240.7</v>
      </c>
      <c r="I26" s="63">
        <v>236.2</v>
      </c>
      <c r="J26" s="63">
        <v>294.89999999999998</v>
      </c>
      <c r="K26" s="63">
        <v>352.3</v>
      </c>
      <c r="L26" s="63">
        <v>363.9</v>
      </c>
      <c r="M26" s="64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6"/>
  <sheetViews>
    <sheetView workbookViewId="0">
      <selection activeCell="A2" sqref="A2:E2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s="5" customFormat="1" x14ac:dyDescent="0.2">
      <c r="A2" s="137" t="s">
        <v>99</v>
      </c>
      <c r="B2" s="137"/>
      <c r="C2" s="137"/>
      <c r="D2" s="137"/>
      <c r="E2" s="137"/>
      <c r="F2" s="75"/>
      <c r="G2" s="75"/>
    </row>
    <row r="3" spans="1:13" x14ac:dyDescent="0.2">
      <c r="A3" s="77"/>
      <c r="B3" s="77"/>
      <c r="C3" s="77"/>
      <c r="D3" s="77"/>
      <c r="E3" s="77"/>
      <c r="F3" s="77"/>
      <c r="G3" s="77"/>
      <c r="H3" s="76"/>
      <c r="I3" s="76"/>
      <c r="J3" s="76"/>
      <c r="K3" s="76"/>
      <c r="L3" s="76"/>
      <c r="M3" s="76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0"/>
      <c r="B22" s="12" t="s">
        <v>94</v>
      </c>
      <c r="C22" s="12" t="s">
        <v>93</v>
      </c>
      <c r="D22" s="12" t="s">
        <v>92</v>
      </c>
      <c r="E22" s="13" t="s">
        <v>91</v>
      </c>
      <c r="F22" s="13" t="s">
        <v>90</v>
      </c>
      <c r="G22" s="13" t="s">
        <v>89</v>
      </c>
    </row>
    <row r="23" spans="1:7" ht="15" customHeight="1" x14ac:dyDescent="0.2">
      <c r="A23" s="23" t="s">
        <v>62</v>
      </c>
      <c r="B23" s="128">
        <v>47.9</v>
      </c>
      <c r="C23" s="129">
        <v>48.6</v>
      </c>
      <c r="D23" s="129">
        <v>48.8</v>
      </c>
      <c r="E23" s="129">
        <v>48.8</v>
      </c>
      <c r="F23" s="129">
        <v>45.9</v>
      </c>
      <c r="G23" s="124">
        <v>44.5</v>
      </c>
    </row>
    <row r="24" spans="1:7" ht="15" customHeight="1" x14ac:dyDescent="0.2">
      <c r="A24" s="24" t="s">
        <v>63</v>
      </c>
      <c r="B24" s="130">
        <v>25.3</v>
      </c>
      <c r="C24" s="131">
        <v>24.8</v>
      </c>
      <c r="D24" s="131">
        <v>24.8</v>
      </c>
      <c r="E24" s="131">
        <v>24.1</v>
      </c>
      <c r="F24" s="131">
        <v>24.4</v>
      </c>
      <c r="G24" s="125">
        <v>26</v>
      </c>
    </row>
    <row r="25" spans="1:7" ht="15.75" customHeight="1" x14ac:dyDescent="0.2">
      <c r="A25" s="25" t="s">
        <v>64</v>
      </c>
      <c r="B25" s="132">
        <v>26.8</v>
      </c>
      <c r="C25" s="133">
        <v>26.6</v>
      </c>
      <c r="D25" s="133">
        <v>26.4</v>
      </c>
      <c r="E25" s="133">
        <v>27.1</v>
      </c>
      <c r="F25" s="133">
        <v>29.7</v>
      </c>
      <c r="G25" s="127">
        <v>29.5</v>
      </c>
    </row>
    <row r="26" spans="1:7" x14ac:dyDescent="0.2">
      <c r="G26" s="8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43"/>
  <sheetViews>
    <sheetView workbookViewId="0">
      <selection activeCell="A2" sqref="A2:E2"/>
    </sheetView>
  </sheetViews>
  <sheetFormatPr defaultRowHeight="12" x14ac:dyDescent="0.2"/>
  <cols>
    <col min="1" max="1" width="18" style="3" customWidth="1"/>
    <col min="2" max="4" width="15.5703125" style="3" customWidth="1"/>
    <col min="5" max="5" width="15.28515625" style="3" customWidth="1"/>
    <col min="6" max="6" width="16" style="3" customWidth="1"/>
    <col min="7" max="7" width="15.85546875" style="3" customWidth="1"/>
    <col min="8" max="16384" width="9.140625" style="3"/>
  </cols>
  <sheetData>
    <row r="2" spans="1:13" s="5" customFormat="1" x14ac:dyDescent="0.2">
      <c r="A2" s="141" t="s">
        <v>98</v>
      </c>
      <c r="B2" s="141"/>
      <c r="C2" s="141"/>
      <c r="D2" s="141"/>
      <c r="E2" s="141"/>
      <c r="F2" s="141"/>
      <c r="G2" s="153"/>
      <c r="H2" s="152"/>
      <c r="I2" s="152"/>
      <c r="J2" s="152"/>
      <c r="K2" s="152"/>
      <c r="L2" s="152"/>
      <c r="M2" s="152"/>
    </row>
    <row r="24" spans="1:7" ht="24" x14ac:dyDescent="0.2">
      <c r="A24" s="46"/>
      <c r="B24" s="108" t="s">
        <v>95</v>
      </c>
      <c r="C24" s="108" t="s">
        <v>93</v>
      </c>
      <c r="D24" s="108" t="s">
        <v>92</v>
      </c>
      <c r="E24" s="108" t="s">
        <v>96</v>
      </c>
      <c r="F24" s="108" t="s">
        <v>90</v>
      </c>
      <c r="G24" s="108" t="s">
        <v>89</v>
      </c>
    </row>
    <row r="25" spans="1:7" x14ac:dyDescent="0.2">
      <c r="A25" s="98" t="s">
        <v>86</v>
      </c>
      <c r="B25" s="109">
        <v>13</v>
      </c>
      <c r="C25" s="101">
        <v>11.6</v>
      </c>
      <c r="D25" s="101">
        <v>12.1</v>
      </c>
      <c r="E25" s="101">
        <v>11.6</v>
      </c>
      <c r="F25" s="101">
        <v>10.9</v>
      </c>
      <c r="G25" s="102">
        <v>14</v>
      </c>
    </row>
    <row r="26" spans="1:7" x14ac:dyDescent="0.2">
      <c r="A26" s="96" t="s">
        <v>36</v>
      </c>
      <c r="B26" s="110">
        <v>13.8</v>
      </c>
      <c r="C26" s="94">
        <v>14.5</v>
      </c>
      <c r="D26" s="94">
        <v>14.8</v>
      </c>
      <c r="E26" s="94">
        <v>14.5</v>
      </c>
      <c r="F26" s="94">
        <v>11.7</v>
      </c>
      <c r="G26" s="103">
        <v>11.8</v>
      </c>
    </row>
    <row r="27" spans="1:7" x14ac:dyDescent="0.2">
      <c r="A27" s="96" t="s">
        <v>67</v>
      </c>
      <c r="B27" s="110">
        <v>9.6999999999999993</v>
      </c>
      <c r="C27" s="94">
        <v>10.4</v>
      </c>
      <c r="D27" s="94">
        <v>10.5</v>
      </c>
      <c r="E27" s="94">
        <v>10.199999999999999</v>
      </c>
      <c r="F27" s="94">
        <v>11.8</v>
      </c>
      <c r="G27" s="103">
        <v>11.6</v>
      </c>
    </row>
    <row r="28" spans="1:7" x14ac:dyDescent="0.2">
      <c r="A28" s="96" t="s">
        <v>41</v>
      </c>
      <c r="B28" s="110">
        <v>9.6</v>
      </c>
      <c r="C28" s="94">
        <v>10.6</v>
      </c>
      <c r="D28" s="94">
        <v>10.1</v>
      </c>
      <c r="E28" s="94">
        <v>9.9</v>
      </c>
      <c r="F28" s="94">
        <v>9.9</v>
      </c>
      <c r="G28" s="103">
        <v>9.4</v>
      </c>
    </row>
    <row r="29" spans="1:7" x14ac:dyDescent="0.2">
      <c r="A29" s="96" t="s">
        <v>37</v>
      </c>
      <c r="B29" s="110">
        <v>7.9</v>
      </c>
      <c r="C29" s="94">
        <v>8.1</v>
      </c>
      <c r="D29" s="94">
        <v>8.4</v>
      </c>
      <c r="E29" s="94">
        <v>8.3000000000000007</v>
      </c>
      <c r="F29" s="94">
        <v>8.4</v>
      </c>
      <c r="G29" s="103">
        <v>7.7</v>
      </c>
    </row>
    <row r="30" spans="1:7" x14ac:dyDescent="0.2">
      <c r="A30" s="96" t="s">
        <v>38</v>
      </c>
      <c r="B30" s="110">
        <v>6.8</v>
      </c>
      <c r="C30" s="94">
        <v>6.3</v>
      </c>
      <c r="D30" s="94">
        <v>5.9</v>
      </c>
      <c r="E30" s="94">
        <v>6.7</v>
      </c>
      <c r="F30" s="94">
        <v>7</v>
      </c>
      <c r="G30" s="103">
        <v>7.5</v>
      </c>
    </row>
    <row r="31" spans="1:7" x14ac:dyDescent="0.2">
      <c r="A31" s="96" t="s">
        <v>39</v>
      </c>
      <c r="B31" s="110">
        <v>7.1</v>
      </c>
      <c r="C31" s="94">
        <v>7</v>
      </c>
      <c r="D31" s="94">
        <v>6.8</v>
      </c>
      <c r="E31" s="94">
        <v>7.1</v>
      </c>
      <c r="F31" s="94">
        <v>6.4</v>
      </c>
      <c r="G31" s="103">
        <v>6.3</v>
      </c>
    </row>
    <row r="32" spans="1:7" x14ac:dyDescent="0.2">
      <c r="A32" s="96" t="s">
        <v>40</v>
      </c>
      <c r="B32" s="110">
        <v>3.2</v>
      </c>
      <c r="C32" s="94">
        <v>3.4</v>
      </c>
      <c r="D32" s="94">
        <v>3.5</v>
      </c>
      <c r="E32" s="94">
        <v>3.4</v>
      </c>
      <c r="F32" s="94">
        <v>4</v>
      </c>
      <c r="G32" s="103">
        <v>3.7</v>
      </c>
    </row>
    <row r="33" spans="1:7" x14ac:dyDescent="0.2">
      <c r="A33" s="96" t="s">
        <v>88</v>
      </c>
      <c r="B33" s="110">
        <v>2.2999999999999998</v>
      </c>
      <c r="C33" s="94">
        <v>2.4</v>
      </c>
      <c r="D33" s="94">
        <v>2.2999999999999998</v>
      </c>
      <c r="E33" s="94">
        <v>2.5</v>
      </c>
      <c r="F33" s="94">
        <v>2.2000000000000002</v>
      </c>
      <c r="G33" s="103">
        <v>2.4</v>
      </c>
    </row>
    <row r="34" spans="1:7" x14ac:dyDescent="0.2">
      <c r="A34" s="96" t="s">
        <v>43</v>
      </c>
      <c r="B34" s="110">
        <v>2.6</v>
      </c>
      <c r="C34" s="94">
        <v>2.4</v>
      </c>
      <c r="D34" s="94">
        <v>2.2000000000000002</v>
      </c>
      <c r="E34" s="94">
        <v>2.2999999999999998</v>
      </c>
      <c r="F34" s="94">
        <v>2.1</v>
      </c>
      <c r="G34" s="103">
        <v>2</v>
      </c>
    </row>
    <row r="35" spans="1:7" x14ac:dyDescent="0.2">
      <c r="A35" s="96" t="s">
        <v>44</v>
      </c>
      <c r="B35" s="110">
        <v>2</v>
      </c>
      <c r="C35" s="94">
        <v>2.1</v>
      </c>
      <c r="D35" s="94">
        <v>2</v>
      </c>
      <c r="E35" s="94">
        <v>1.9</v>
      </c>
      <c r="F35" s="94">
        <v>1.9</v>
      </c>
      <c r="G35" s="103">
        <v>1.7</v>
      </c>
    </row>
    <row r="36" spans="1:7" ht="13.5" customHeight="1" x14ac:dyDescent="0.2">
      <c r="A36" s="96" t="s">
        <v>42</v>
      </c>
      <c r="B36" s="110">
        <v>1.3</v>
      </c>
      <c r="C36" s="94">
        <v>1.4</v>
      </c>
      <c r="D36" s="94">
        <v>1.5</v>
      </c>
      <c r="E36" s="94">
        <v>2</v>
      </c>
      <c r="F36" s="94">
        <v>1.8</v>
      </c>
      <c r="G36" s="103">
        <v>1.6</v>
      </c>
    </row>
    <row r="37" spans="1:7" ht="12" customHeight="1" x14ac:dyDescent="0.2">
      <c r="A37" s="96" t="s">
        <v>85</v>
      </c>
      <c r="B37" s="110">
        <v>1.3</v>
      </c>
      <c r="C37" s="94">
        <v>1.5</v>
      </c>
      <c r="D37" s="94">
        <v>1.3</v>
      </c>
      <c r="E37" s="94">
        <v>1.3</v>
      </c>
      <c r="F37" s="94">
        <v>1.2</v>
      </c>
      <c r="G37" s="103">
        <v>1.5</v>
      </c>
    </row>
    <row r="38" spans="1:7" x14ac:dyDescent="0.2">
      <c r="A38" s="96" t="s">
        <v>68</v>
      </c>
      <c r="B38" s="110">
        <v>1.9</v>
      </c>
      <c r="C38" s="94">
        <v>1.7</v>
      </c>
      <c r="D38" s="94">
        <v>1.9</v>
      </c>
      <c r="E38" s="94">
        <v>1.6</v>
      </c>
      <c r="F38" s="94">
        <v>1.2</v>
      </c>
      <c r="G38" s="103">
        <v>1.4</v>
      </c>
    </row>
    <row r="39" spans="1:7" x14ac:dyDescent="0.2">
      <c r="A39" s="96" t="s">
        <v>45</v>
      </c>
      <c r="B39" s="110">
        <v>1.2</v>
      </c>
      <c r="C39" s="94">
        <v>1.3</v>
      </c>
      <c r="D39" s="94">
        <v>1.3</v>
      </c>
      <c r="E39" s="94">
        <v>1.4</v>
      </c>
      <c r="F39" s="94">
        <v>1.5</v>
      </c>
      <c r="G39" s="103">
        <v>1.3</v>
      </c>
    </row>
    <row r="40" spans="1:7" x14ac:dyDescent="0.2">
      <c r="A40" s="96" t="s">
        <v>46</v>
      </c>
      <c r="B40" s="110">
        <v>1.4</v>
      </c>
      <c r="C40" s="94">
        <v>1.6</v>
      </c>
      <c r="D40" s="94">
        <v>1.2</v>
      </c>
      <c r="E40" s="94">
        <v>1</v>
      </c>
      <c r="F40" s="94">
        <v>1.2</v>
      </c>
      <c r="G40" s="103">
        <v>1.1000000000000001</v>
      </c>
    </row>
    <row r="41" spans="1:7" x14ac:dyDescent="0.2">
      <c r="A41" s="96" t="s">
        <v>47</v>
      </c>
      <c r="B41" s="110">
        <v>1.1000000000000001</v>
      </c>
      <c r="C41" s="94">
        <v>1</v>
      </c>
      <c r="D41" s="94">
        <v>1</v>
      </c>
      <c r="E41" s="94">
        <v>1</v>
      </c>
      <c r="F41" s="94">
        <v>1.1000000000000001</v>
      </c>
      <c r="G41" s="103">
        <v>1</v>
      </c>
    </row>
    <row r="42" spans="1:7" x14ac:dyDescent="0.2">
      <c r="A42" s="96" t="s">
        <v>77</v>
      </c>
      <c r="B42" s="110">
        <v>0.7</v>
      </c>
      <c r="C42" s="94">
        <v>0.8</v>
      </c>
      <c r="D42" s="94">
        <v>0.9</v>
      </c>
      <c r="E42" s="94">
        <v>0.9</v>
      </c>
      <c r="F42" s="94">
        <v>1</v>
      </c>
      <c r="G42" s="103">
        <v>0.9</v>
      </c>
    </row>
    <row r="43" spans="1:7" x14ac:dyDescent="0.2">
      <c r="A43" s="97" t="s">
        <v>48</v>
      </c>
      <c r="B43" s="111">
        <v>1.6</v>
      </c>
      <c r="C43" s="95">
        <v>1.2</v>
      </c>
      <c r="D43" s="95">
        <v>1</v>
      </c>
      <c r="E43" s="95">
        <v>1</v>
      </c>
      <c r="F43" s="95">
        <v>0.9</v>
      </c>
      <c r="G43" s="104">
        <v>0.9</v>
      </c>
    </row>
  </sheetData>
  <mergeCells count="1"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43"/>
  <sheetViews>
    <sheetView workbookViewId="0">
      <selection activeCell="A2" sqref="A2:E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3" s="5" customFormat="1" x14ac:dyDescent="0.2">
      <c r="A2" s="137" t="s">
        <v>75</v>
      </c>
      <c r="B2" s="137"/>
      <c r="C2" s="137"/>
      <c r="D2" s="137"/>
      <c r="E2" s="137"/>
      <c r="F2" s="137"/>
      <c r="G2" s="137"/>
    </row>
    <row r="3" spans="1:13" x14ac:dyDescent="0.2">
      <c r="A3" s="77"/>
      <c r="B3" s="77"/>
      <c r="C3" s="77"/>
      <c r="D3" s="77"/>
      <c r="E3" s="77"/>
      <c r="F3" s="77"/>
      <c r="G3" s="76"/>
      <c r="H3" s="76"/>
      <c r="I3" s="76"/>
      <c r="J3" s="76"/>
      <c r="K3" s="76"/>
      <c r="L3" s="76"/>
      <c r="M3" s="76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x14ac:dyDescent="0.2">
      <c r="A22" s="5"/>
    </row>
    <row r="23" spans="1:6" x14ac:dyDescent="0.2">
      <c r="A23" s="69" t="s">
        <v>90</v>
      </c>
      <c r="B23" s="47" t="s">
        <v>49</v>
      </c>
    </row>
    <row r="24" spans="1:6" ht="13.5" customHeight="1" x14ac:dyDescent="0.2">
      <c r="A24" s="33" t="s">
        <v>50</v>
      </c>
      <c r="B24" s="116">
        <v>12.1</v>
      </c>
    </row>
    <row r="25" spans="1:6" x14ac:dyDescent="0.2">
      <c r="A25" s="34" t="s">
        <v>51</v>
      </c>
      <c r="B25" s="117">
        <v>2</v>
      </c>
    </row>
    <row r="26" spans="1:6" x14ac:dyDescent="0.2">
      <c r="A26" s="34" t="s">
        <v>52</v>
      </c>
      <c r="B26" s="117">
        <v>2.6</v>
      </c>
    </row>
    <row r="27" spans="1:6" x14ac:dyDescent="0.2">
      <c r="A27" s="34" t="s">
        <v>53</v>
      </c>
      <c r="B27" s="117">
        <v>10.8</v>
      </c>
    </row>
    <row r="28" spans="1:6" x14ac:dyDescent="0.2">
      <c r="A28" s="34" t="s">
        <v>65</v>
      </c>
      <c r="B28" s="117">
        <v>0.2</v>
      </c>
    </row>
    <row r="29" spans="1:6" x14ac:dyDescent="0.2">
      <c r="A29" s="34" t="s">
        <v>66</v>
      </c>
      <c r="B29" s="117">
        <v>15.4</v>
      </c>
    </row>
    <row r="30" spans="1:6" x14ac:dyDescent="0.2">
      <c r="A30" s="34" t="s">
        <v>56</v>
      </c>
      <c r="B30" s="117">
        <v>19.899999999999999</v>
      </c>
    </row>
    <row r="31" spans="1:6" x14ac:dyDescent="0.2">
      <c r="A31" s="34" t="s">
        <v>57</v>
      </c>
      <c r="B31" s="117">
        <v>26</v>
      </c>
    </row>
    <row r="32" spans="1:6" x14ac:dyDescent="0.2">
      <c r="A32" s="35" t="s">
        <v>58</v>
      </c>
      <c r="B32" s="118">
        <v>11</v>
      </c>
    </row>
    <row r="33" spans="1:2" ht="15" x14ac:dyDescent="0.2">
      <c r="B33" s="134"/>
    </row>
    <row r="34" spans="1:2" x14ac:dyDescent="0.2">
      <c r="A34" s="69" t="s">
        <v>89</v>
      </c>
      <c r="B34" s="84" t="s">
        <v>49</v>
      </c>
    </row>
    <row r="35" spans="1:2" x14ac:dyDescent="0.2">
      <c r="A35" s="33" t="s">
        <v>50</v>
      </c>
      <c r="B35" s="116">
        <v>10.7</v>
      </c>
    </row>
    <row r="36" spans="1:2" x14ac:dyDescent="0.2">
      <c r="A36" s="34" t="s">
        <v>51</v>
      </c>
      <c r="B36" s="117">
        <v>1.8</v>
      </c>
    </row>
    <row r="37" spans="1:2" x14ac:dyDescent="0.2">
      <c r="A37" s="34" t="s">
        <v>52</v>
      </c>
      <c r="B37" s="117">
        <v>2.7</v>
      </c>
    </row>
    <row r="38" spans="1:2" x14ac:dyDescent="0.2">
      <c r="A38" s="34" t="s">
        <v>53</v>
      </c>
      <c r="B38" s="117">
        <v>14.4</v>
      </c>
    </row>
    <row r="39" spans="1:2" x14ac:dyDescent="0.2">
      <c r="A39" s="34" t="s">
        <v>54</v>
      </c>
      <c r="B39" s="117">
        <v>0.2</v>
      </c>
    </row>
    <row r="40" spans="1:2" x14ac:dyDescent="0.2">
      <c r="A40" s="34" t="s">
        <v>55</v>
      </c>
      <c r="B40" s="117">
        <v>14.6</v>
      </c>
    </row>
    <row r="41" spans="1:2" x14ac:dyDescent="0.2">
      <c r="A41" s="34" t="s">
        <v>56</v>
      </c>
      <c r="B41" s="117">
        <v>18.7</v>
      </c>
    </row>
    <row r="42" spans="1:2" x14ac:dyDescent="0.2">
      <c r="A42" s="34" t="s">
        <v>57</v>
      </c>
      <c r="B42" s="117">
        <v>25.3</v>
      </c>
    </row>
    <row r="43" spans="1:2" x14ac:dyDescent="0.2">
      <c r="A43" s="35" t="s">
        <v>58</v>
      </c>
      <c r="B43" s="118">
        <v>11.6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E2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s="5" customFormat="1" x14ac:dyDescent="0.2">
      <c r="A2" s="141" t="s">
        <v>78</v>
      </c>
      <c r="B2" s="141"/>
      <c r="C2" s="141"/>
      <c r="D2" s="141"/>
      <c r="E2" s="141"/>
      <c r="F2" s="141"/>
      <c r="G2" s="141"/>
      <c r="H2" s="141"/>
      <c r="I2" s="141"/>
      <c r="J2" s="141"/>
      <c r="K2" s="152"/>
      <c r="L2" s="152"/>
      <c r="M2" s="152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44" t="s">
        <v>0</v>
      </c>
      <c r="B22" s="66" t="s">
        <v>1</v>
      </c>
      <c r="C22" s="66" t="s">
        <v>2</v>
      </c>
      <c r="D22" s="66" t="s">
        <v>3</v>
      </c>
      <c r="E22" s="66" t="s">
        <v>4</v>
      </c>
      <c r="F22" s="66" t="s">
        <v>5</v>
      </c>
      <c r="G22" s="66" t="s">
        <v>6</v>
      </c>
      <c r="H22" s="66" t="s">
        <v>7</v>
      </c>
      <c r="I22" s="66" t="s">
        <v>8</v>
      </c>
      <c r="J22" s="66" t="s">
        <v>9</v>
      </c>
      <c r="K22" s="66" t="s">
        <v>10</v>
      </c>
      <c r="L22" s="66" t="s">
        <v>11</v>
      </c>
      <c r="M22" s="67" t="s">
        <v>12</v>
      </c>
    </row>
    <row r="23" spans="1:13" x14ac:dyDescent="0.2">
      <c r="A23" s="43">
        <v>2016</v>
      </c>
      <c r="B23" s="61">
        <v>-90.5</v>
      </c>
      <c r="C23" s="61">
        <v>-148.5</v>
      </c>
      <c r="D23" s="61">
        <v>-205.5</v>
      </c>
      <c r="E23" s="61">
        <v>-176.4</v>
      </c>
      <c r="F23" s="61">
        <v>-174.7</v>
      </c>
      <c r="G23" s="61">
        <v>-167.2</v>
      </c>
      <c r="H23" s="61">
        <v>-148.5</v>
      </c>
      <c r="I23" s="61">
        <v>-183.1</v>
      </c>
      <c r="J23" s="61">
        <v>-168</v>
      </c>
      <c r="K23" s="61">
        <v>-179.4</v>
      </c>
      <c r="L23" s="61">
        <v>-135.9</v>
      </c>
      <c r="M23" s="61">
        <v>-197.9</v>
      </c>
    </row>
    <row r="24" spans="1:13" x14ac:dyDescent="0.2">
      <c r="A24" s="43">
        <v>2017</v>
      </c>
      <c r="B24" s="61">
        <v>-127.3</v>
      </c>
      <c r="C24" s="61">
        <v>-156.1</v>
      </c>
      <c r="D24" s="61">
        <v>-219.1</v>
      </c>
      <c r="E24" s="61">
        <v>-207.3</v>
      </c>
      <c r="F24" s="61">
        <v>-225.7</v>
      </c>
      <c r="G24" s="61">
        <v>-217.7</v>
      </c>
      <c r="H24" s="61">
        <v>-205.3</v>
      </c>
      <c r="I24" s="61">
        <v>-221.8</v>
      </c>
      <c r="J24" s="61">
        <v>-206.9</v>
      </c>
      <c r="K24" s="61">
        <v>-197.7</v>
      </c>
      <c r="L24" s="61">
        <v>-183.2</v>
      </c>
      <c r="M24" s="61">
        <v>-238.3</v>
      </c>
    </row>
    <row r="25" spans="1:13" x14ac:dyDescent="0.2">
      <c r="A25" s="43">
        <v>2018</v>
      </c>
      <c r="B25" s="61">
        <v>-154</v>
      </c>
      <c r="C25" s="61">
        <v>-212.1</v>
      </c>
      <c r="D25" s="61">
        <v>-282</v>
      </c>
      <c r="E25" s="61">
        <v>-244.9</v>
      </c>
      <c r="F25" s="61">
        <v>-282.60000000000002</v>
      </c>
      <c r="G25" s="61">
        <v>-244.6</v>
      </c>
      <c r="H25" s="61">
        <v>-269.2</v>
      </c>
      <c r="I25" s="61">
        <v>-262.10000000000002</v>
      </c>
      <c r="J25" s="61">
        <v>-266.7</v>
      </c>
      <c r="K25" s="61">
        <v>-281.60000000000002</v>
      </c>
      <c r="L25" s="61">
        <v>-253.70000000000005</v>
      </c>
      <c r="M25" s="61">
        <v>-300.49999999999994</v>
      </c>
    </row>
    <row r="26" spans="1:13" x14ac:dyDescent="0.2">
      <c r="A26" s="43">
        <v>2019</v>
      </c>
      <c r="B26" s="61">
        <v>-138.30000000000001</v>
      </c>
      <c r="C26" s="61">
        <v>-217.9</v>
      </c>
      <c r="D26" s="61">
        <v>-276.60000000000002</v>
      </c>
      <c r="E26" s="61">
        <v>-300</v>
      </c>
      <c r="F26" s="61">
        <v>-271.10000000000002</v>
      </c>
      <c r="G26" s="61">
        <v>-243.2</v>
      </c>
      <c r="H26" s="61">
        <v>-278.89999999999998</v>
      </c>
      <c r="I26" s="61">
        <v>-258.5</v>
      </c>
      <c r="J26" s="61">
        <v>-262.89999999999998</v>
      </c>
      <c r="K26" s="61">
        <v>-257</v>
      </c>
      <c r="L26" s="61">
        <v>-237.5</v>
      </c>
      <c r="M26" s="61">
        <v>-321.39999999999998</v>
      </c>
    </row>
    <row r="27" spans="1:13" x14ac:dyDescent="0.2">
      <c r="A27" s="43">
        <v>2020</v>
      </c>
      <c r="B27" s="61">
        <v>-160.30000000000001</v>
      </c>
      <c r="C27" s="61">
        <v>-239.5</v>
      </c>
      <c r="D27" s="61">
        <v>-290.3</v>
      </c>
      <c r="E27" s="61">
        <v>-135.80000000000001</v>
      </c>
      <c r="F27" s="61">
        <v>-173.7</v>
      </c>
      <c r="G27" s="61">
        <v>-223.9</v>
      </c>
      <c r="H27" s="61">
        <v>-305.5</v>
      </c>
      <c r="I27" s="61">
        <v>-269.7</v>
      </c>
      <c r="J27" s="61">
        <v>-296</v>
      </c>
      <c r="K27" s="61">
        <v>-244.2</v>
      </c>
      <c r="L27" s="61">
        <v>-260.89999999999998</v>
      </c>
      <c r="M27" s="61">
        <v>-349</v>
      </c>
    </row>
    <row r="28" spans="1:13" x14ac:dyDescent="0.2">
      <c r="A28" s="39">
        <v>2021</v>
      </c>
      <c r="B28" s="63">
        <v>-201</v>
      </c>
      <c r="C28" s="63">
        <v>-294.39999999999998</v>
      </c>
      <c r="D28" s="63">
        <v>-370.8</v>
      </c>
      <c r="E28" s="63">
        <v>-344</v>
      </c>
      <c r="F28" s="63">
        <v>-361.7</v>
      </c>
      <c r="G28" s="63">
        <v>-362.8</v>
      </c>
      <c r="H28" s="63">
        <v>-321.3</v>
      </c>
      <c r="I28" s="63">
        <v>-338.7</v>
      </c>
      <c r="J28" s="63">
        <v>-374.8</v>
      </c>
      <c r="K28" s="63">
        <v>-293.60000000000002</v>
      </c>
      <c r="L28" s="63">
        <v>-337</v>
      </c>
      <c r="M28" s="63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workbookViewId="0">
      <selection activeCell="A2" sqref="A2:E2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s="5" customFormat="1" x14ac:dyDescent="0.2">
      <c r="A2" s="145" t="s">
        <v>97</v>
      </c>
      <c r="B2" s="145"/>
      <c r="C2" s="145"/>
      <c r="D2" s="145"/>
      <c r="E2" s="145"/>
      <c r="F2" s="151"/>
      <c r="G2" s="152"/>
      <c r="H2" s="152"/>
      <c r="I2" s="152"/>
      <c r="J2" s="152"/>
      <c r="K2" s="152"/>
      <c r="L2" s="152"/>
      <c r="M2" s="152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70" t="s">
        <v>69</v>
      </c>
      <c r="B24" s="36" t="s">
        <v>70</v>
      </c>
      <c r="C24" s="36" t="s">
        <v>71</v>
      </c>
      <c r="D24" s="37" t="s">
        <v>72</v>
      </c>
      <c r="E24" s="6"/>
    </row>
    <row r="25" spans="1:6" ht="15.75" customHeight="1" x14ac:dyDescent="0.2">
      <c r="A25" s="17" t="s">
        <v>94</v>
      </c>
      <c r="B25" s="105">
        <v>1851.1</v>
      </c>
      <c r="C25" s="105">
        <v>3629</v>
      </c>
      <c r="D25" s="106">
        <v>-1777.9</v>
      </c>
      <c r="E25" s="6"/>
    </row>
    <row r="26" spans="1:6" ht="15" customHeight="1" x14ac:dyDescent="0.2">
      <c r="A26" s="18" t="s">
        <v>93</v>
      </c>
      <c r="B26" s="105">
        <v>2191.9</v>
      </c>
      <c r="C26" s="105">
        <v>4360</v>
      </c>
      <c r="D26" s="106">
        <v>-2168.1</v>
      </c>
      <c r="E26" s="6"/>
    </row>
    <row r="27" spans="1:6" ht="14.25" customHeight="1" x14ac:dyDescent="0.2">
      <c r="A27" s="18" t="s">
        <v>92</v>
      </c>
      <c r="B27" s="105">
        <v>2487.3000000000002</v>
      </c>
      <c r="C27" s="105">
        <v>5240.7</v>
      </c>
      <c r="D27" s="107">
        <v>-2753.4</v>
      </c>
      <c r="E27" s="6"/>
    </row>
    <row r="28" spans="1:6" ht="14.25" customHeight="1" x14ac:dyDescent="0.2">
      <c r="A28" s="18" t="s">
        <v>91</v>
      </c>
      <c r="B28" s="105">
        <v>2560.9</v>
      </c>
      <c r="C28" s="105">
        <v>5302.8</v>
      </c>
      <c r="D28" s="107">
        <v>-2741.9</v>
      </c>
      <c r="E28" s="6"/>
    </row>
    <row r="29" spans="1:6" ht="13.5" customHeight="1" x14ac:dyDescent="0.2">
      <c r="A29" s="18" t="s">
        <v>90</v>
      </c>
      <c r="B29" s="105">
        <v>2248.9</v>
      </c>
      <c r="C29" s="105">
        <v>4848.7</v>
      </c>
      <c r="D29" s="107">
        <v>-2599.8000000000002</v>
      </c>
      <c r="E29" s="6"/>
    </row>
    <row r="30" spans="1:6" ht="13.5" customHeight="1" x14ac:dyDescent="0.2">
      <c r="A30" s="18" t="s">
        <v>89</v>
      </c>
      <c r="B30" s="105">
        <v>2819.5</v>
      </c>
      <c r="C30" s="105">
        <v>6419.6</v>
      </c>
      <c r="D30" s="107">
        <v>-3600.1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25"/>
  <sheetViews>
    <sheetView workbookViewId="0">
      <selection activeCell="A2" sqref="A2:O2"/>
    </sheetView>
  </sheetViews>
  <sheetFormatPr defaultRowHeight="12" x14ac:dyDescent="0.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16384" width="9.140625" style="3"/>
  </cols>
  <sheetData>
    <row r="2" spans="1:15" s="5" customFormat="1" ht="15.75" customHeight="1" x14ac:dyDescent="0.2">
      <c r="A2" s="141" t="s">
        <v>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5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5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5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5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6" x14ac:dyDescent="0.2">
      <c r="A18" s="5"/>
    </row>
    <row r="19" spans="1:36" x14ac:dyDescent="0.2">
      <c r="A19" s="5"/>
      <c r="AG19" s="6"/>
    </row>
    <row r="20" spans="1:36" x14ac:dyDescent="0.2">
      <c r="A20" s="5"/>
      <c r="AG20" s="6"/>
    </row>
    <row r="21" spans="1:36" ht="19.5" customHeight="1" x14ac:dyDescent="0.2">
      <c r="A21" s="5"/>
      <c r="AG21" s="6"/>
    </row>
    <row r="22" spans="1:36" x14ac:dyDescent="0.2">
      <c r="A22" s="138"/>
      <c r="B22" s="140">
        <v>2019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>
        <v>2020</v>
      </c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2">
        <v>2021</v>
      </c>
      <c r="AA22" s="143"/>
      <c r="AB22" s="143"/>
      <c r="AC22" s="143"/>
      <c r="AD22" s="143"/>
      <c r="AE22" s="143"/>
      <c r="AF22" s="143"/>
      <c r="AG22" s="143"/>
      <c r="AH22" s="143"/>
      <c r="AI22" s="143"/>
      <c r="AJ22" s="144"/>
    </row>
    <row r="23" spans="1:36" x14ac:dyDescent="0.2">
      <c r="A23" s="139"/>
      <c r="B23" s="31" t="s">
        <v>13</v>
      </c>
      <c r="C23" s="31" t="s">
        <v>14</v>
      </c>
      <c r="D23" s="31" t="s">
        <v>15</v>
      </c>
      <c r="E23" s="31" t="s">
        <v>16</v>
      </c>
      <c r="F23" s="31" t="s">
        <v>17</v>
      </c>
      <c r="G23" s="31" t="s">
        <v>18</v>
      </c>
      <c r="H23" s="31" t="s">
        <v>19</v>
      </c>
      <c r="I23" s="31" t="s">
        <v>20</v>
      </c>
      <c r="J23" s="31" t="s">
        <v>21</v>
      </c>
      <c r="K23" s="31" t="s">
        <v>22</v>
      </c>
      <c r="L23" s="31" t="s">
        <v>23</v>
      </c>
      <c r="M23" s="31" t="s">
        <v>24</v>
      </c>
      <c r="N23" s="31" t="s">
        <v>13</v>
      </c>
      <c r="O23" s="31" t="s">
        <v>14</v>
      </c>
      <c r="P23" s="31" t="s">
        <v>15</v>
      </c>
      <c r="Q23" s="31" t="s">
        <v>16</v>
      </c>
      <c r="R23" s="31" t="s">
        <v>17</v>
      </c>
      <c r="S23" s="31" t="s">
        <v>25</v>
      </c>
      <c r="T23" s="31" t="s">
        <v>19</v>
      </c>
      <c r="U23" s="31" t="s">
        <v>26</v>
      </c>
      <c r="V23" s="31" t="s">
        <v>21</v>
      </c>
      <c r="W23" s="31" t="s">
        <v>27</v>
      </c>
      <c r="X23" s="31" t="s">
        <v>23</v>
      </c>
      <c r="Y23" s="31" t="s">
        <v>24</v>
      </c>
      <c r="Z23" s="82" t="s">
        <v>13</v>
      </c>
      <c r="AA23" s="91" t="s">
        <v>14</v>
      </c>
      <c r="AB23" s="82" t="s">
        <v>15</v>
      </c>
      <c r="AC23" s="82" t="s">
        <v>16</v>
      </c>
      <c r="AD23" s="82" t="s">
        <v>17</v>
      </c>
      <c r="AE23" s="82" t="s">
        <v>25</v>
      </c>
      <c r="AF23" s="82" t="s">
        <v>19</v>
      </c>
      <c r="AG23" s="82" t="s">
        <v>26</v>
      </c>
      <c r="AH23" s="93" t="s">
        <v>21</v>
      </c>
      <c r="AI23" s="113" t="s">
        <v>27</v>
      </c>
      <c r="AJ23" s="112" t="s">
        <v>23</v>
      </c>
    </row>
    <row r="24" spans="1:36" ht="28.5" customHeight="1" x14ac:dyDescent="0.2">
      <c r="A24" s="29" t="s">
        <v>73</v>
      </c>
      <c r="B24" s="19">
        <v>107.04955714362214</v>
      </c>
      <c r="C24" s="19">
        <v>103.05469693630643</v>
      </c>
      <c r="D24" s="19">
        <v>106.5540849399146</v>
      </c>
      <c r="E24" s="19">
        <v>83.804058120513616</v>
      </c>
      <c r="F24" s="19">
        <v>97.663587687631406</v>
      </c>
      <c r="G24" s="19">
        <v>96.047232355670943</v>
      </c>
      <c r="H24" s="19">
        <v>108.87893967295254</v>
      </c>
      <c r="I24" s="19">
        <v>93.476142278451405</v>
      </c>
      <c r="J24" s="19">
        <v>116.03027535062083</v>
      </c>
      <c r="K24" s="19">
        <v>112.37403253245004</v>
      </c>
      <c r="L24" s="19">
        <v>99.332915825323369</v>
      </c>
      <c r="M24" s="15">
        <v>81.894486392152885</v>
      </c>
      <c r="N24" s="21">
        <v>100.54069338788538</v>
      </c>
      <c r="O24" s="21">
        <v>111.77933359663091</v>
      </c>
      <c r="P24" s="21">
        <v>85.694935103741471</v>
      </c>
      <c r="Q24" s="21">
        <v>71.283537880135214</v>
      </c>
      <c r="R24" s="21">
        <v>103.90424682350312</v>
      </c>
      <c r="S24" s="21">
        <v>121.75061963317823</v>
      </c>
      <c r="T24" s="21">
        <v>100.8184202333199</v>
      </c>
      <c r="U24" s="21">
        <v>78.376764810035453</v>
      </c>
      <c r="V24" s="21">
        <v>129.49769232961904</v>
      </c>
      <c r="W24" s="21">
        <v>117.47585360993436</v>
      </c>
      <c r="X24" s="21">
        <v>105.08585699580438</v>
      </c>
      <c r="Y24" s="15">
        <v>83.287463510424814</v>
      </c>
      <c r="Z24" s="54">
        <v>90.924906043100663</v>
      </c>
      <c r="AA24" s="20">
        <v>114.41147354263464</v>
      </c>
      <c r="AB24" s="20">
        <v>114.20579997969134</v>
      </c>
      <c r="AC24" s="20">
        <v>84.167356355788357</v>
      </c>
      <c r="AD24" s="20">
        <v>92.421884276527052</v>
      </c>
      <c r="AE24" s="83">
        <v>112.45124175218632</v>
      </c>
      <c r="AF24" s="83">
        <v>106.13290668113962</v>
      </c>
      <c r="AG24" s="83">
        <v>98.133871970000001</v>
      </c>
      <c r="AH24" s="83">
        <v>124.81061560262756</v>
      </c>
      <c r="AI24" s="83">
        <v>119.45491359908731</v>
      </c>
      <c r="AJ24" s="92">
        <v>103.29169796610861</v>
      </c>
    </row>
    <row r="25" spans="1:36" ht="40.5" customHeight="1" x14ac:dyDescent="0.2">
      <c r="A25" s="28" t="s">
        <v>74</v>
      </c>
      <c r="B25" s="26">
        <f>IF(220321.7383="","-",234254.08835/220321.7383*100)</f>
        <v>106.32363840150403</v>
      </c>
      <c r="C25" s="14">
        <f>IF(215472.31369="","-",241409.84081/215472.31369*100)</f>
        <v>112.03752197942065</v>
      </c>
      <c r="D25" s="14">
        <f>IF(242121.38159="","-",257232.04683/242121.38159*100)</f>
        <v>106.24094623150131</v>
      </c>
      <c r="E25" s="14">
        <f>IF(199735.58403="","-",215570.89403/199735.58403*100)</f>
        <v>107.92813662968615</v>
      </c>
      <c r="F25" s="14">
        <f>IF(223023.34378="","-",210534.26912/223023.34378*100)</f>
        <v>94.400104290284631</v>
      </c>
      <c r="G25" s="14">
        <f>IF(214123.17565="","-",202212.33865/214123.17565*100)</f>
        <v>94.437390084542201</v>
      </c>
      <c r="H25" s="14">
        <f>IF(218832.76993="","-",220166.65021/218832.76993*100)</f>
        <v>100.6095432052643</v>
      </c>
      <c r="I25" s="14">
        <f>IF(218601.82808="","-",205803.2912/218601.82808*100)</f>
        <v>94.145274542115814</v>
      </c>
      <c r="J25" s="14">
        <f>IF(207304.07378="","-",238794.12546/207304.07378*100)</f>
        <v>115.19027152038439</v>
      </c>
      <c r="K25" s="14">
        <f>IF(258965.48256="","-",268342.58823/258965.48256*100)</f>
        <v>103.62098669571817</v>
      </c>
      <c r="L25" s="14">
        <f>IF(268843.90574="","-",266552.51729/268843.90574*100)</f>
        <v>99.147688156183818</v>
      </c>
      <c r="M25" s="16">
        <f>IF(218827.70429="","-",218291.815/218827.70429*100)</f>
        <v>99.755109028932736</v>
      </c>
      <c r="N25" s="14">
        <f>IF(234254.08835="","-",219472.10441/234254.08835*100)</f>
        <v>93.68976480021378</v>
      </c>
      <c r="O25" s="14">
        <f>IF(241409.84081="","-",245324.45574/241409.84081*100)</f>
        <v>101.62156394157972</v>
      </c>
      <c r="P25" s="14">
        <f>IF(257232.04683="","-",210230.63314/257232.04683*100)</f>
        <v>81.728010071364707</v>
      </c>
      <c r="Q25" s="14">
        <f>IF(215570.89403="","-",149859.83301/215570.89403*100)</f>
        <v>69.517656214361068</v>
      </c>
      <c r="R25" s="14">
        <f>IF(210534.26912="","-",155710.73078/210534.26912*100)</f>
        <v>73.959803043393492</v>
      </c>
      <c r="S25" s="14">
        <f>IF(202212.33865="","-",189578.77956/202212.33865*100)</f>
        <v>93.752330261178145</v>
      </c>
      <c r="T25" s="14">
        <f>IF(220166.65021="","-",191130.33065/220166.65021*100)</f>
        <v>86.811663105059509</v>
      </c>
      <c r="U25" s="14">
        <f>IF(205803.2912="","-",163909.5874/205803.2912*100)</f>
        <v>79.643812518387932</v>
      </c>
      <c r="V25" s="14">
        <f>IF(238794.12546="","-",212259.13319/238794.12546*100)</f>
        <v>88.887920831852767</v>
      </c>
      <c r="W25" s="14">
        <f>IF(268342.58823="","-",249353.22858/268342.58823*100)</f>
        <v>92.923464078044901</v>
      </c>
      <c r="X25" s="14">
        <f>IF(266552.51729="","-",262034.9772/266552.51729*100)</f>
        <v>98.30519698859753</v>
      </c>
      <c r="Y25" s="16">
        <f>IF(218291.815="","-",218242.28602/218291.815*100)</f>
        <v>99.977310656379856</v>
      </c>
      <c r="Z25" s="85">
        <f>IF(219472.10441="","-",198437.26393/219472.10441*100)</f>
        <v>90.415711128050958</v>
      </c>
      <c r="AA25" s="72">
        <f>IF(245324.45574="","-",227034.99772/245324.45574*100)</f>
        <v>92.544788099159774</v>
      </c>
      <c r="AB25" s="72">
        <f>IF(210230.63314="","-",259287.13538/210230.63314*100)</f>
        <v>123.33461185332185</v>
      </c>
      <c r="AC25" s="72">
        <f>IF(149859.83301="","-",218235.12722/149859.83301*100)</f>
        <v>145.62616468779689</v>
      </c>
      <c r="AD25" s="72">
        <f>IF(155710.73078="","-",201697.01673/155710.73078*100)</f>
        <v>129.53315145310887</v>
      </c>
      <c r="AE25" s="72">
        <f>IF(189578.77956="","-",226810.79989/189578.77956*100)</f>
        <v>119.63933960141166</v>
      </c>
      <c r="AF25" s="72">
        <f>IF(191130.33065="","-",240720.89459/191130.33065*100)</f>
        <v>125.94594158412818</v>
      </c>
      <c r="AG25" s="72">
        <f>IF(163909.5874="","-",236275.85018/163909.5874*100)</f>
        <v>144.1501097818028</v>
      </c>
      <c r="AH25" s="72">
        <f>IF(212259.13319="","-",294897.34313/212259.13319*100)</f>
        <v>138.93269924268836</v>
      </c>
      <c r="AI25" s="72">
        <f>IF(249353.22858="","-",352269.36643/249353.22858*100)</f>
        <v>141.27323252884267</v>
      </c>
      <c r="AJ25" s="90">
        <f>IF(262034.9772="","-",363865.01351/262034.9772*100)</f>
        <v>138.861238067572</v>
      </c>
    </row>
  </sheetData>
  <mergeCells count="5">
    <mergeCell ref="A22:A23"/>
    <mergeCell ref="B22:M22"/>
    <mergeCell ref="N22:Y22"/>
    <mergeCell ref="Z22:AJ22"/>
    <mergeCell ref="A2:O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7"/>
  <sheetViews>
    <sheetView workbookViewId="0">
      <selection activeCell="A2" sqref="A2:E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5.28515625" style="3" customWidth="1"/>
    <col min="8" max="8" width="14.85546875" style="3" customWidth="1"/>
    <col min="9" max="16384" width="9.140625" style="3"/>
  </cols>
  <sheetData>
    <row r="2" spans="1:13" s="5" customFormat="1" x14ac:dyDescent="0.2">
      <c r="A2" s="145" t="s">
        <v>103</v>
      </c>
      <c r="B2" s="145"/>
      <c r="C2" s="145"/>
      <c r="D2" s="145"/>
      <c r="E2" s="145"/>
      <c r="F2" s="145"/>
      <c r="G2" s="153"/>
      <c r="H2" s="152"/>
      <c r="I2" s="152"/>
      <c r="J2" s="152"/>
      <c r="K2" s="152"/>
      <c r="L2" s="152"/>
      <c r="M2" s="152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68" t="s">
        <v>28</v>
      </c>
      <c r="B22" s="41" t="s">
        <v>89</v>
      </c>
      <c r="C22" s="13" t="s">
        <v>90</v>
      </c>
      <c r="D22" s="13" t="s">
        <v>91</v>
      </c>
      <c r="E22" s="13" t="s">
        <v>92</v>
      </c>
      <c r="F22" s="13" t="s">
        <v>93</v>
      </c>
      <c r="G22" s="13" t="s">
        <v>94</v>
      </c>
      <c r="H22" s="6"/>
    </row>
    <row r="23" spans="1:8" x14ac:dyDescent="0.2">
      <c r="A23" s="52" t="s">
        <v>29</v>
      </c>
      <c r="B23" s="109">
        <v>8.8000000000000007</v>
      </c>
      <c r="C23" s="101">
        <v>7</v>
      </c>
      <c r="D23" s="101">
        <v>6.7</v>
      </c>
      <c r="E23" s="101">
        <v>6.7</v>
      </c>
      <c r="F23" s="101">
        <v>7.8</v>
      </c>
      <c r="G23" s="102">
        <v>7.5</v>
      </c>
    </row>
    <row r="24" spans="1:8" x14ac:dyDescent="0.2">
      <c r="A24" s="52" t="s">
        <v>30</v>
      </c>
      <c r="B24" s="110">
        <v>5.0999999999999996</v>
      </c>
      <c r="C24" s="94">
        <v>2.9</v>
      </c>
      <c r="D24" s="94">
        <v>4.5</v>
      </c>
      <c r="E24" s="94">
        <v>4.3</v>
      </c>
      <c r="F24" s="94">
        <v>3.5</v>
      </c>
      <c r="G24" s="103">
        <v>3.1</v>
      </c>
    </row>
    <row r="25" spans="1:8" x14ac:dyDescent="0.2">
      <c r="A25" s="52" t="s">
        <v>31</v>
      </c>
      <c r="B25" s="110">
        <v>84.9</v>
      </c>
      <c r="C25" s="94">
        <v>89</v>
      </c>
      <c r="D25" s="94">
        <v>87.1</v>
      </c>
      <c r="E25" s="94">
        <v>87.2</v>
      </c>
      <c r="F25" s="94">
        <v>86.2</v>
      </c>
      <c r="G25" s="103">
        <v>87.8</v>
      </c>
    </row>
    <row r="26" spans="1:8" x14ac:dyDescent="0.2">
      <c r="A26" s="52" t="s">
        <v>32</v>
      </c>
      <c r="B26" s="110">
        <v>1.2</v>
      </c>
      <c r="C26" s="94">
        <v>1.1000000000000001</v>
      </c>
      <c r="D26" s="94">
        <v>1.6</v>
      </c>
      <c r="E26" s="114">
        <v>1.8</v>
      </c>
      <c r="F26" s="94">
        <v>2.4</v>
      </c>
      <c r="G26" s="103">
        <v>1.4</v>
      </c>
    </row>
    <row r="27" spans="1:8" x14ac:dyDescent="0.2">
      <c r="A27" s="53" t="s">
        <v>59</v>
      </c>
      <c r="B27" s="111">
        <v>0</v>
      </c>
      <c r="C27" s="95">
        <v>0</v>
      </c>
      <c r="D27" s="95">
        <v>0.1</v>
      </c>
      <c r="E27" s="95">
        <v>0</v>
      </c>
      <c r="F27" s="95">
        <v>0.1</v>
      </c>
      <c r="G27" s="104">
        <v>0.2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3"/>
  <sheetViews>
    <sheetView workbookViewId="0">
      <selection activeCell="A2" sqref="A2:E2"/>
    </sheetView>
  </sheetViews>
  <sheetFormatPr defaultRowHeight="12" x14ac:dyDescent="0.2"/>
  <cols>
    <col min="1" max="1" width="26.140625" style="3" customWidth="1"/>
    <col min="2" max="2" width="15.5703125" style="3" customWidth="1"/>
    <col min="3" max="3" width="16" style="3" customWidth="1"/>
    <col min="4" max="4" width="15.7109375" style="3" customWidth="1"/>
    <col min="5" max="5" width="15.28515625" style="3" customWidth="1"/>
    <col min="6" max="6" width="15.140625" style="3" customWidth="1"/>
    <col min="7" max="7" width="15" style="3" customWidth="1"/>
    <col min="8" max="16384" width="9.140625" style="3"/>
  </cols>
  <sheetData>
    <row r="2" spans="1:13" s="5" customFormat="1" x14ac:dyDescent="0.2">
      <c r="A2" s="146" t="s">
        <v>102</v>
      </c>
      <c r="B2" s="146"/>
      <c r="C2" s="146"/>
      <c r="D2" s="146"/>
      <c r="E2" s="146"/>
      <c r="F2" s="155"/>
      <c r="G2" s="155"/>
      <c r="H2" s="152"/>
      <c r="I2" s="152"/>
      <c r="J2" s="152"/>
      <c r="K2" s="152"/>
      <c r="L2" s="152"/>
      <c r="M2" s="152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2"/>
      <c r="B20" s="12" t="s">
        <v>94</v>
      </c>
      <c r="C20" s="12" t="s">
        <v>93</v>
      </c>
      <c r="D20" s="12" t="s">
        <v>92</v>
      </c>
      <c r="E20" s="13" t="s">
        <v>91</v>
      </c>
      <c r="F20" s="13" t="s">
        <v>90</v>
      </c>
      <c r="G20" s="13" t="s">
        <v>89</v>
      </c>
      <c r="H20" s="6"/>
    </row>
    <row r="21" spans="1:8" ht="15" customHeight="1" x14ac:dyDescent="0.2">
      <c r="A21" s="23" t="s">
        <v>33</v>
      </c>
      <c r="B21" s="109">
        <v>58.9</v>
      </c>
      <c r="C21" s="101">
        <v>60</v>
      </c>
      <c r="D21" s="101">
        <v>66.400000000000006</v>
      </c>
      <c r="E21" s="101">
        <v>63.9</v>
      </c>
      <c r="F21" s="101">
        <v>66.8</v>
      </c>
      <c r="G21" s="102">
        <v>61.2</v>
      </c>
      <c r="H21" s="7"/>
    </row>
    <row r="22" spans="1:8" ht="14.25" customHeight="1" x14ac:dyDescent="0.2">
      <c r="A22" s="24" t="s">
        <v>34</v>
      </c>
      <c r="B22" s="110">
        <v>20.6</v>
      </c>
      <c r="C22" s="94">
        <v>19.5</v>
      </c>
      <c r="D22" s="94">
        <v>15.5</v>
      </c>
      <c r="E22" s="94">
        <v>15.8</v>
      </c>
      <c r="F22" s="94">
        <v>15.1</v>
      </c>
      <c r="G22" s="103">
        <v>15</v>
      </c>
      <c r="H22" s="7"/>
    </row>
    <row r="23" spans="1:8" ht="15" customHeight="1" x14ac:dyDescent="0.2">
      <c r="A23" s="25" t="s">
        <v>35</v>
      </c>
      <c r="B23" s="111">
        <v>20.5</v>
      </c>
      <c r="C23" s="95">
        <v>20.5</v>
      </c>
      <c r="D23" s="95">
        <v>18.100000000000001</v>
      </c>
      <c r="E23" s="95">
        <v>20.3</v>
      </c>
      <c r="F23" s="95">
        <v>18.100000000000001</v>
      </c>
      <c r="G23" s="104">
        <v>23.8</v>
      </c>
      <c r="H23" s="7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6"/>
  <sheetViews>
    <sheetView workbookViewId="0">
      <selection activeCell="A2" sqref="A2:E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3" s="5" customFormat="1" x14ac:dyDescent="0.2">
      <c r="A2" s="145" t="s">
        <v>101</v>
      </c>
      <c r="B2" s="145"/>
      <c r="C2" s="145"/>
      <c r="D2" s="145"/>
      <c r="E2" s="145"/>
      <c r="F2" s="145"/>
      <c r="G2" s="154"/>
      <c r="H2" s="154"/>
      <c r="I2" s="154"/>
      <c r="J2" s="152"/>
      <c r="K2" s="152"/>
      <c r="L2" s="152"/>
      <c r="M2" s="152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10" x14ac:dyDescent="0.2">
      <c r="A21" s="5"/>
    </row>
    <row r="22" spans="1:10" ht="14.25" customHeight="1" x14ac:dyDescent="0.2">
      <c r="A22" s="5"/>
    </row>
    <row r="23" spans="1:10" ht="48.75" customHeight="1" x14ac:dyDescent="0.2">
      <c r="A23" s="30"/>
      <c r="B23" s="108" t="s">
        <v>95</v>
      </c>
      <c r="C23" s="108" t="s">
        <v>93</v>
      </c>
      <c r="D23" s="108" t="s">
        <v>92</v>
      </c>
      <c r="E23" s="108" t="s">
        <v>96</v>
      </c>
      <c r="F23" s="108" t="s">
        <v>90</v>
      </c>
      <c r="G23" s="108" t="s">
        <v>89</v>
      </c>
      <c r="I23" s="6"/>
      <c r="J23" s="6"/>
    </row>
    <row r="24" spans="1:10" ht="13.5" customHeight="1" x14ac:dyDescent="0.2">
      <c r="A24" s="98" t="s">
        <v>36</v>
      </c>
      <c r="B24" s="109">
        <v>25</v>
      </c>
      <c r="C24" s="101">
        <v>24.9</v>
      </c>
      <c r="D24" s="101">
        <v>29.3</v>
      </c>
      <c r="E24" s="101">
        <v>27.8</v>
      </c>
      <c r="F24" s="101">
        <v>28.6</v>
      </c>
      <c r="G24" s="102">
        <v>26.7</v>
      </c>
      <c r="I24" s="73"/>
      <c r="J24" s="6"/>
    </row>
    <row r="25" spans="1:10" ht="14.25" customHeight="1" x14ac:dyDescent="0.2">
      <c r="A25" s="96" t="s">
        <v>38</v>
      </c>
      <c r="B25" s="110">
        <v>2.9</v>
      </c>
      <c r="C25" s="94">
        <v>4</v>
      </c>
      <c r="D25" s="94">
        <v>3.5</v>
      </c>
      <c r="E25" s="94">
        <v>6.4</v>
      </c>
      <c r="F25" s="94">
        <v>6.7</v>
      </c>
      <c r="G25" s="103">
        <v>9.6999999999999993</v>
      </c>
      <c r="I25" s="73"/>
      <c r="J25" s="6"/>
    </row>
    <row r="26" spans="1:10" ht="12.75" customHeight="1" x14ac:dyDescent="0.2">
      <c r="A26" s="96" t="s">
        <v>86</v>
      </c>
      <c r="B26" s="110">
        <v>11.7</v>
      </c>
      <c r="C26" s="94">
        <v>10.9</v>
      </c>
      <c r="D26" s="94">
        <v>8.1999999999999993</v>
      </c>
      <c r="E26" s="94">
        <v>9.1999999999999993</v>
      </c>
      <c r="F26" s="94">
        <v>8.8000000000000007</v>
      </c>
      <c r="G26" s="103">
        <v>8.9</v>
      </c>
      <c r="I26" s="73"/>
      <c r="J26" s="6"/>
    </row>
    <row r="27" spans="1:10" ht="14.25" customHeight="1" x14ac:dyDescent="0.2">
      <c r="A27" s="96" t="s">
        <v>37</v>
      </c>
      <c r="B27" s="110">
        <v>6.2</v>
      </c>
      <c r="C27" s="94">
        <v>6.8</v>
      </c>
      <c r="D27" s="94">
        <v>8.1999999999999993</v>
      </c>
      <c r="E27" s="94">
        <v>8.9</v>
      </c>
      <c r="F27" s="94">
        <v>9.3000000000000007</v>
      </c>
      <c r="G27" s="103">
        <v>8.1999999999999993</v>
      </c>
      <c r="I27" s="73"/>
      <c r="J27" s="6"/>
    </row>
    <row r="28" spans="1:10" ht="12.75" customHeight="1" x14ac:dyDescent="0.2">
      <c r="A28" s="96" t="s">
        <v>39</v>
      </c>
      <c r="B28" s="110">
        <v>9.8000000000000007</v>
      </c>
      <c r="C28" s="94">
        <v>9.8000000000000007</v>
      </c>
      <c r="D28" s="94">
        <v>11.6</v>
      </c>
      <c r="E28" s="94">
        <v>9.5</v>
      </c>
      <c r="F28" s="94">
        <v>8.6999999999999993</v>
      </c>
      <c r="G28" s="103">
        <v>7.8</v>
      </c>
      <c r="I28" s="73"/>
      <c r="J28" s="6"/>
    </row>
    <row r="29" spans="1:10" ht="13.5" customHeight="1" x14ac:dyDescent="0.2">
      <c r="A29" s="96" t="s">
        <v>87</v>
      </c>
      <c r="B29" s="110">
        <v>2.2000000000000002</v>
      </c>
      <c r="C29" s="94">
        <v>1.7</v>
      </c>
      <c r="D29" s="94">
        <v>2.1</v>
      </c>
      <c r="E29" s="94">
        <v>3</v>
      </c>
      <c r="F29" s="94">
        <v>2.5</v>
      </c>
      <c r="G29" s="103">
        <v>3.6</v>
      </c>
      <c r="I29" s="73"/>
      <c r="J29" s="6"/>
    </row>
    <row r="30" spans="1:10" ht="13.5" customHeight="1" x14ac:dyDescent="0.2">
      <c r="A30" s="96" t="s">
        <v>40</v>
      </c>
      <c r="B30" s="110">
        <v>3.6</v>
      </c>
      <c r="C30" s="94">
        <v>4.3</v>
      </c>
      <c r="D30" s="94">
        <v>3.6</v>
      </c>
      <c r="E30" s="94">
        <v>4.0999999999999996</v>
      </c>
      <c r="F30" s="94">
        <v>4.5</v>
      </c>
      <c r="G30" s="103">
        <v>3.5</v>
      </c>
      <c r="I30" s="73"/>
      <c r="J30" s="6"/>
    </row>
    <row r="31" spans="1:10" ht="13.5" customHeight="1" x14ac:dyDescent="0.2">
      <c r="A31" s="96" t="s">
        <v>41</v>
      </c>
      <c r="B31" s="110">
        <v>2.5</v>
      </c>
      <c r="C31" s="94">
        <v>2.7</v>
      </c>
      <c r="D31" s="94">
        <v>2.9</v>
      </c>
      <c r="E31" s="94">
        <v>2.9</v>
      </c>
      <c r="F31" s="94">
        <v>2.6</v>
      </c>
      <c r="G31" s="103">
        <v>3</v>
      </c>
      <c r="I31" s="73"/>
      <c r="J31" s="6"/>
    </row>
    <row r="32" spans="1:10" ht="13.5" customHeight="1" x14ac:dyDescent="0.2">
      <c r="A32" s="96" t="s">
        <v>42</v>
      </c>
      <c r="B32" s="110">
        <v>1.4</v>
      </c>
      <c r="C32" s="94">
        <v>1.2</v>
      </c>
      <c r="D32" s="94">
        <v>1.6</v>
      </c>
      <c r="E32" s="94">
        <v>2.2999999999999998</v>
      </c>
      <c r="F32" s="94">
        <v>3.3</v>
      </c>
      <c r="G32" s="103">
        <v>2.6</v>
      </c>
      <c r="I32" s="73"/>
      <c r="J32" s="6"/>
    </row>
    <row r="33" spans="1:10" ht="14.25" customHeight="1" x14ac:dyDescent="0.2">
      <c r="A33" s="96" t="s">
        <v>46</v>
      </c>
      <c r="B33" s="110">
        <v>3.6</v>
      </c>
      <c r="C33" s="94">
        <v>3.3</v>
      </c>
      <c r="D33" s="94">
        <v>1.8</v>
      </c>
      <c r="E33" s="94">
        <v>2.1</v>
      </c>
      <c r="F33" s="94">
        <v>2.4</v>
      </c>
      <c r="G33" s="103">
        <v>2.2999999999999998</v>
      </c>
      <c r="I33" s="73"/>
      <c r="J33" s="6"/>
    </row>
    <row r="34" spans="1:10" x14ac:dyDescent="0.2">
      <c r="A34" s="96" t="s">
        <v>43</v>
      </c>
      <c r="B34" s="110">
        <v>5.0999999999999996</v>
      </c>
      <c r="C34" s="94">
        <v>4.5999999999999996</v>
      </c>
      <c r="D34" s="94">
        <v>3.3</v>
      </c>
      <c r="E34" s="94">
        <v>2.9</v>
      </c>
      <c r="F34" s="94">
        <v>2.7</v>
      </c>
      <c r="G34" s="103">
        <v>2.1</v>
      </c>
      <c r="I34" s="73"/>
      <c r="J34" s="6"/>
    </row>
    <row r="35" spans="1:10" x14ac:dyDescent="0.2">
      <c r="A35" s="96" t="s">
        <v>48</v>
      </c>
      <c r="B35" s="110">
        <v>5.9</v>
      </c>
      <c r="C35" s="94">
        <v>5.7</v>
      </c>
      <c r="D35" s="94">
        <v>3</v>
      </c>
      <c r="E35" s="94">
        <v>1.8</v>
      </c>
      <c r="F35" s="94">
        <v>1.7</v>
      </c>
      <c r="G35" s="103">
        <v>2</v>
      </c>
      <c r="I35" s="73"/>
      <c r="J35" s="6"/>
    </row>
    <row r="36" spans="1:10" ht="14.25" customHeight="1" x14ac:dyDescent="0.2">
      <c r="A36" s="96" t="s">
        <v>45</v>
      </c>
      <c r="B36" s="110">
        <v>0.7</v>
      </c>
      <c r="C36" s="94">
        <v>1</v>
      </c>
      <c r="D36" s="94">
        <v>1</v>
      </c>
      <c r="E36" s="94">
        <v>1.3</v>
      </c>
      <c r="F36" s="94">
        <v>1.3</v>
      </c>
      <c r="G36" s="103">
        <v>1.6</v>
      </c>
      <c r="I36" s="73"/>
      <c r="J36" s="6"/>
    </row>
    <row r="37" spans="1:10" ht="14.25" customHeight="1" x14ac:dyDescent="0.2">
      <c r="A37" s="96" t="s">
        <v>44</v>
      </c>
      <c r="B37" s="110">
        <v>0.4</v>
      </c>
      <c r="C37" s="94">
        <v>0.4</v>
      </c>
      <c r="D37" s="94">
        <v>0.3</v>
      </c>
      <c r="E37" s="94">
        <v>0.4</v>
      </c>
      <c r="F37" s="94">
        <v>1.1000000000000001</v>
      </c>
      <c r="G37" s="103">
        <v>1.4</v>
      </c>
      <c r="I37" s="73"/>
      <c r="J37" s="6"/>
    </row>
    <row r="38" spans="1:10" ht="15" customHeight="1" x14ac:dyDescent="0.2">
      <c r="A38" s="96" t="s">
        <v>76</v>
      </c>
      <c r="B38" s="110">
        <v>1.4</v>
      </c>
      <c r="C38" s="94">
        <v>1.3</v>
      </c>
      <c r="D38" s="94">
        <v>1.3</v>
      </c>
      <c r="E38" s="94">
        <v>1.4</v>
      </c>
      <c r="F38" s="94">
        <v>1.1000000000000001</v>
      </c>
      <c r="G38" s="103">
        <v>1.3</v>
      </c>
      <c r="I38" s="73"/>
      <c r="J38" s="6"/>
    </row>
    <row r="39" spans="1:10" x14ac:dyDescent="0.2">
      <c r="A39" s="96" t="s">
        <v>47</v>
      </c>
      <c r="B39" s="110">
        <v>1.3</v>
      </c>
      <c r="C39" s="94">
        <v>1.1000000000000001</v>
      </c>
      <c r="D39" s="94">
        <v>1.4</v>
      </c>
      <c r="E39" s="94">
        <v>1.3</v>
      </c>
      <c r="F39" s="94">
        <v>1.5</v>
      </c>
      <c r="G39" s="103">
        <v>1.2</v>
      </c>
      <c r="I39" s="73"/>
      <c r="J39" s="6"/>
    </row>
    <row r="40" spans="1:10" x14ac:dyDescent="0.2">
      <c r="A40" s="96" t="s">
        <v>85</v>
      </c>
      <c r="B40" s="110">
        <v>0.8</v>
      </c>
      <c r="C40" s="94">
        <v>0.8</v>
      </c>
      <c r="D40" s="94">
        <v>0.8</v>
      </c>
      <c r="E40" s="94">
        <v>0.9</v>
      </c>
      <c r="F40" s="94">
        <v>1.1000000000000001</v>
      </c>
      <c r="G40" s="103">
        <v>1</v>
      </c>
      <c r="I40" s="73"/>
      <c r="J40" s="6"/>
    </row>
    <row r="41" spans="1:10" ht="13.5" customHeight="1" x14ac:dyDescent="0.2">
      <c r="A41" s="96" t="s">
        <v>88</v>
      </c>
      <c r="B41" s="110">
        <v>2.1</v>
      </c>
      <c r="C41" s="94">
        <v>1.9</v>
      </c>
      <c r="D41" s="94">
        <v>1.8</v>
      </c>
      <c r="E41" s="94">
        <v>1.2</v>
      </c>
      <c r="F41" s="94">
        <v>1.2</v>
      </c>
      <c r="G41" s="103">
        <v>1</v>
      </c>
      <c r="I41" s="73"/>
      <c r="J41" s="6"/>
    </row>
    <row r="42" spans="1:10" x14ac:dyDescent="0.2">
      <c r="A42" s="97" t="s">
        <v>84</v>
      </c>
      <c r="B42" s="111">
        <v>0.6</v>
      </c>
      <c r="C42" s="95">
        <v>0.4</v>
      </c>
      <c r="D42" s="95">
        <v>0.6</v>
      </c>
      <c r="E42" s="95">
        <v>0.4</v>
      </c>
      <c r="F42" s="95">
        <v>0.5</v>
      </c>
      <c r="G42" s="104">
        <v>0.9</v>
      </c>
      <c r="I42" s="73"/>
      <c r="J42" s="6"/>
    </row>
    <row r="43" spans="1:10" x14ac:dyDescent="0.2">
      <c r="B43" s="6"/>
      <c r="C43" s="6"/>
      <c r="D43" s="6"/>
      <c r="E43" s="6"/>
      <c r="F43" s="6"/>
      <c r="G43" s="6"/>
      <c r="I43" s="6"/>
      <c r="J43" s="6"/>
    </row>
    <row r="44" spans="1:10" x14ac:dyDescent="0.2">
      <c r="B44" s="6"/>
      <c r="C44" s="6"/>
      <c r="D44" s="6"/>
      <c r="E44" s="6"/>
      <c r="F44" s="6"/>
      <c r="G44" s="6"/>
      <c r="I44" s="6"/>
      <c r="J44" s="6"/>
    </row>
    <row r="45" spans="1:10" x14ac:dyDescent="0.2">
      <c r="B45" s="6"/>
      <c r="C45" s="6"/>
      <c r="D45" s="6"/>
      <c r="E45" s="6"/>
      <c r="F45" s="6"/>
      <c r="G45" s="6"/>
      <c r="I45" s="6"/>
      <c r="J45" s="6"/>
    </row>
    <row r="46" spans="1:10" x14ac:dyDescent="0.2">
      <c r="B46" s="6"/>
      <c r="C46" s="6"/>
      <c r="D46" s="6"/>
      <c r="E46" s="6"/>
      <c r="F46" s="6"/>
      <c r="G46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7"/>
  <sheetViews>
    <sheetView workbookViewId="0">
      <selection activeCell="A2" sqref="A2:E2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13" s="5" customFormat="1" x14ac:dyDescent="0.2">
      <c r="A2" s="148" t="s">
        <v>81</v>
      </c>
      <c r="B2" s="148"/>
      <c r="C2" s="148"/>
      <c r="D2" s="148"/>
      <c r="E2" s="148"/>
      <c r="F2" s="148"/>
    </row>
    <row r="3" spans="1:13" x14ac:dyDescent="0.2">
      <c r="A3" s="147"/>
      <c r="B3" s="147"/>
      <c r="C3" s="147"/>
      <c r="D3" s="147"/>
      <c r="E3" s="147"/>
      <c r="F3" s="147"/>
      <c r="G3" s="147"/>
      <c r="H3" s="147"/>
      <c r="I3" s="76"/>
      <c r="J3" s="76"/>
      <c r="K3" s="76"/>
      <c r="L3" s="76"/>
      <c r="M3" s="76"/>
    </row>
    <row r="26" spans="1:2" ht="16.5" customHeight="1" x14ac:dyDescent="0.2">
      <c r="A26" s="68" t="s">
        <v>90</v>
      </c>
      <c r="B26" s="47" t="s">
        <v>49</v>
      </c>
    </row>
    <row r="27" spans="1:2" x14ac:dyDescent="0.2">
      <c r="A27" s="58" t="s">
        <v>50</v>
      </c>
      <c r="B27" s="116">
        <v>21.7</v>
      </c>
    </row>
    <row r="28" spans="1:2" x14ac:dyDescent="0.2">
      <c r="A28" s="59" t="s">
        <v>51</v>
      </c>
      <c r="B28" s="117">
        <v>7.6</v>
      </c>
    </row>
    <row r="29" spans="1:2" x14ac:dyDescent="0.2">
      <c r="A29" s="59" t="s">
        <v>52</v>
      </c>
      <c r="B29" s="117">
        <v>10.5</v>
      </c>
    </row>
    <row r="30" spans="1:2" x14ac:dyDescent="0.2">
      <c r="A30" s="59" t="s">
        <v>53</v>
      </c>
      <c r="B30" s="117">
        <v>0.5</v>
      </c>
    </row>
    <row r="31" spans="1:2" x14ac:dyDescent="0.2">
      <c r="A31" s="59" t="s">
        <v>54</v>
      </c>
      <c r="B31" s="117">
        <v>4.2</v>
      </c>
    </row>
    <row r="32" spans="1:2" x14ac:dyDescent="0.2">
      <c r="A32" s="59" t="s">
        <v>55</v>
      </c>
      <c r="B32" s="119">
        <v>5.0999999999999996</v>
      </c>
    </row>
    <row r="33" spans="1:2" x14ac:dyDescent="0.2">
      <c r="A33" s="59" t="s">
        <v>56</v>
      </c>
      <c r="B33" s="117">
        <v>7.1</v>
      </c>
    </row>
    <row r="34" spans="1:2" x14ac:dyDescent="0.2">
      <c r="A34" s="59" t="s">
        <v>57</v>
      </c>
      <c r="B34" s="117">
        <v>22.4</v>
      </c>
    </row>
    <row r="35" spans="1:2" x14ac:dyDescent="0.2">
      <c r="A35" s="60" t="s">
        <v>58</v>
      </c>
      <c r="B35" s="118">
        <v>20.9</v>
      </c>
    </row>
    <row r="36" spans="1:2" x14ac:dyDescent="0.2">
      <c r="B36" s="115"/>
    </row>
    <row r="37" spans="1:2" x14ac:dyDescent="0.2">
      <c r="A37" s="68" t="s">
        <v>89</v>
      </c>
      <c r="B37" s="45" t="s">
        <v>49</v>
      </c>
    </row>
    <row r="38" spans="1:2" x14ac:dyDescent="0.2">
      <c r="A38" s="58" t="s">
        <v>50</v>
      </c>
      <c r="B38" s="120">
        <v>25.2</v>
      </c>
    </row>
    <row r="39" spans="1:2" x14ac:dyDescent="0.2">
      <c r="A39" s="59" t="s">
        <v>51</v>
      </c>
      <c r="B39" s="119">
        <v>6.7</v>
      </c>
    </row>
    <row r="40" spans="1:2" x14ac:dyDescent="0.2">
      <c r="A40" s="59" t="s">
        <v>52</v>
      </c>
      <c r="B40" s="119">
        <v>11.3</v>
      </c>
    </row>
    <row r="41" spans="1:2" x14ac:dyDescent="0.2">
      <c r="A41" s="59" t="s">
        <v>53</v>
      </c>
      <c r="B41" s="119">
        <v>0.5</v>
      </c>
    </row>
    <row r="42" spans="1:2" x14ac:dyDescent="0.2">
      <c r="A42" s="59" t="s">
        <v>54</v>
      </c>
      <c r="B42" s="119">
        <v>3.5</v>
      </c>
    </row>
    <row r="43" spans="1:2" x14ac:dyDescent="0.2">
      <c r="A43" s="59" t="s">
        <v>55</v>
      </c>
      <c r="B43" s="119">
        <v>4.9000000000000004</v>
      </c>
    </row>
    <row r="44" spans="1:2" x14ac:dyDescent="0.2">
      <c r="A44" s="59" t="s">
        <v>56</v>
      </c>
      <c r="B44" s="119">
        <v>8</v>
      </c>
    </row>
    <row r="45" spans="1:2" x14ac:dyDescent="0.2">
      <c r="A45" s="59" t="s">
        <v>57</v>
      </c>
      <c r="B45" s="119">
        <v>20.7</v>
      </c>
    </row>
    <row r="46" spans="1:2" x14ac:dyDescent="0.2">
      <c r="A46" s="60" t="s">
        <v>58</v>
      </c>
      <c r="B46" s="121">
        <v>19.2</v>
      </c>
    </row>
    <row r="47" spans="1:2" x14ac:dyDescent="0.2">
      <c r="B47" s="99"/>
    </row>
  </sheetData>
  <mergeCells count="2">
    <mergeCell ref="A3:H3"/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A2" sqref="A2:E2"/>
    </sheetView>
  </sheetViews>
  <sheetFormatPr defaultRowHeight="12" x14ac:dyDescent="0.2"/>
  <cols>
    <col min="1" max="1" width="9.85546875" style="3" customWidth="1"/>
    <col min="2" max="2" width="9.140625" style="3"/>
    <col min="3" max="3" width="10" style="3" customWidth="1"/>
    <col min="4" max="9" width="9.140625" style="3"/>
    <col min="10" max="10" width="11.7109375" style="3" bestFit="1" customWidth="1"/>
    <col min="11" max="11" width="11" style="3" bestFit="1" customWidth="1"/>
    <col min="12" max="12" width="10.85546875" style="3" bestFit="1" customWidth="1"/>
    <col min="13" max="13" width="11.28515625" style="3" bestFit="1" customWidth="1"/>
    <col min="14" max="16384" width="9.140625" style="3"/>
  </cols>
  <sheetData>
    <row r="2" spans="1:13" s="5" customFormat="1" x14ac:dyDescent="0.2">
      <c r="A2" s="145" t="s">
        <v>80</v>
      </c>
      <c r="B2" s="145"/>
      <c r="C2" s="145"/>
      <c r="D2" s="145"/>
      <c r="E2" s="145"/>
      <c r="F2" s="145"/>
      <c r="G2" s="145"/>
      <c r="H2" s="145"/>
      <c r="I2" s="145"/>
      <c r="J2" s="145"/>
      <c r="K2" s="152"/>
      <c r="L2" s="152"/>
      <c r="M2" s="152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42" t="s">
        <v>0</v>
      </c>
      <c r="B21" s="42" t="s">
        <v>1</v>
      </c>
      <c r="C21" s="66" t="s">
        <v>2</v>
      </c>
      <c r="D21" s="66" t="s">
        <v>3</v>
      </c>
      <c r="E21" s="66" t="s">
        <v>4</v>
      </c>
      <c r="F21" s="66" t="s">
        <v>5</v>
      </c>
      <c r="G21" s="66" t="s">
        <v>6</v>
      </c>
      <c r="H21" s="66" t="s">
        <v>7</v>
      </c>
      <c r="I21" s="66" t="s">
        <v>8</v>
      </c>
      <c r="J21" s="66" t="s">
        <v>9</v>
      </c>
      <c r="K21" s="66" t="s">
        <v>10</v>
      </c>
      <c r="L21" s="66" t="s">
        <v>11</v>
      </c>
      <c r="M21" s="66" t="s">
        <v>12</v>
      </c>
    </row>
    <row r="22" spans="1:13" x14ac:dyDescent="0.2">
      <c r="A22" s="43">
        <v>2016</v>
      </c>
      <c r="B22" s="65">
        <v>207.3</v>
      </c>
      <c r="C22" s="65">
        <v>287</v>
      </c>
      <c r="D22" s="65">
        <v>366.8</v>
      </c>
      <c r="E22" s="65">
        <v>354.9</v>
      </c>
      <c r="F22" s="65">
        <v>327.7</v>
      </c>
      <c r="G22" s="65">
        <v>324.60000000000002</v>
      </c>
      <c r="H22" s="65">
        <v>314.10000000000002</v>
      </c>
      <c r="I22" s="65">
        <v>351.1</v>
      </c>
      <c r="J22" s="65">
        <v>361.6</v>
      </c>
      <c r="K22" s="65">
        <v>380.2</v>
      </c>
      <c r="L22" s="65">
        <v>353.5</v>
      </c>
      <c r="M22" s="62">
        <v>391.4</v>
      </c>
    </row>
    <row r="23" spans="1:13" x14ac:dyDescent="0.2">
      <c r="A23" s="43">
        <v>2017</v>
      </c>
      <c r="B23" s="65">
        <v>266.8</v>
      </c>
      <c r="C23" s="65">
        <v>332.7</v>
      </c>
      <c r="D23" s="65">
        <v>431.2</v>
      </c>
      <c r="E23" s="65">
        <v>361.5</v>
      </c>
      <c r="F23" s="65">
        <v>400.4</v>
      </c>
      <c r="G23" s="65">
        <v>388.8</v>
      </c>
      <c r="H23" s="65">
        <v>396.9</v>
      </c>
      <c r="I23" s="65">
        <v>429.7</v>
      </c>
      <c r="J23" s="65">
        <v>430.8</v>
      </c>
      <c r="K23" s="65">
        <v>465.9</v>
      </c>
      <c r="L23" s="65">
        <v>455.3</v>
      </c>
      <c r="M23" s="62">
        <v>471.4</v>
      </c>
    </row>
    <row r="24" spans="1:13" x14ac:dyDescent="0.2">
      <c r="A24" s="43">
        <v>2018</v>
      </c>
      <c r="B24" s="65">
        <v>374.3</v>
      </c>
      <c r="C24" s="65">
        <v>427.6</v>
      </c>
      <c r="D24" s="65">
        <v>524.1</v>
      </c>
      <c r="E24" s="65">
        <v>444.6</v>
      </c>
      <c r="F24" s="65">
        <v>505.6</v>
      </c>
      <c r="G24" s="65">
        <v>458.7</v>
      </c>
      <c r="H24" s="65">
        <v>488</v>
      </c>
      <c r="I24" s="65">
        <v>480.7</v>
      </c>
      <c r="J24" s="65">
        <v>474</v>
      </c>
      <c r="K24" s="65">
        <v>540.6</v>
      </c>
      <c r="L24" s="65">
        <v>522.6</v>
      </c>
      <c r="M24" s="62">
        <v>519.29999999999995</v>
      </c>
    </row>
    <row r="25" spans="1:13" x14ac:dyDescent="0.2">
      <c r="A25" s="43">
        <v>2019</v>
      </c>
      <c r="B25" s="65">
        <v>372.6</v>
      </c>
      <c r="C25" s="65">
        <v>459.3</v>
      </c>
      <c r="D25" s="65">
        <v>533.79999999999995</v>
      </c>
      <c r="E25" s="65">
        <v>515.6</v>
      </c>
      <c r="F25" s="65">
        <v>481.6</v>
      </c>
      <c r="G25" s="65">
        <v>445.4</v>
      </c>
      <c r="H25" s="65">
        <v>499.1</v>
      </c>
      <c r="I25" s="65">
        <v>464.3</v>
      </c>
      <c r="J25" s="65">
        <v>501.7</v>
      </c>
      <c r="K25" s="65">
        <v>525.29999999999995</v>
      </c>
      <c r="L25" s="65">
        <v>504.1</v>
      </c>
      <c r="M25" s="62">
        <v>539.70000000000005</v>
      </c>
    </row>
    <row r="26" spans="1:13" x14ac:dyDescent="0.2">
      <c r="A26" s="43">
        <v>2020</v>
      </c>
      <c r="B26" s="65">
        <v>379.8</v>
      </c>
      <c r="C26" s="65">
        <v>484.8</v>
      </c>
      <c r="D26" s="65">
        <v>500.5</v>
      </c>
      <c r="E26" s="65">
        <v>285.60000000000002</v>
      </c>
      <c r="F26" s="65">
        <v>329.4</v>
      </c>
      <c r="G26" s="65">
        <v>413.5</v>
      </c>
      <c r="H26" s="65">
        <v>496.6</v>
      </c>
      <c r="I26" s="65">
        <v>433.6</v>
      </c>
      <c r="J26" s="65">
        <v>508.3</v>
      </c>
      <c r="K26" s="65">
        <v>493.6</v>
      </c>
      <c r="L26" s="65">
        <v>522.9</v>
      </c>
      <c r="M26" s="62">
        <v>567.29999999999995</v>
      </c>
    </row>
    <row r="27" spans="1:13" x14ac:dyDescent="0.2">
      <c r="A27" s="39">
        <v>2021</v>
      </c>
      <c r="B27" s="63">
        <v>399.4</v>
      </c>
      <c r="C27" s="63">
        <v>521.4</v>
      </c>
      <c r="D27" s="63">
        <v>630.1</v>
      </c>
      <c r="E27" s="63">
        <v>562.20000000000005</v>
      </c>
      <c r="F27" s="63">
        <v>563.4</v>
      </c>
      <c r="G27" s="63">
        <v>589.6</v>
      </c>
      <c r="H27" s="63">
        <v>562</v>
      </c>
      <c r="I27" s="63">
        <v>574.9</v>
      </c>
      <c r="J27" s="63">
        <v>669.7</v>
      </c>
      <c r="K27" s="63">
        <v>645.9</v>
      </c>
      <c r="L27" s="63">
        <v>700.9</v>
      </c>
      <c r="M27" s="64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J28"/>
  <sheetViews>
    <sheetView workbookViewId="0">
      <selection activeCell="A2" sqref="A2:E2"/>
    </sheetView>
  </sheetViews>
  <sheetFormatPr defaultRowHeight="12" x14ac:dyDescent="0.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36" width="6" style="3" customWidth="1"/>
    <col min="37" max="16384" width="9.140625" style="3"/>
  </cols>
  <sheetData>
    <row r="2" spans="1:13" s="5" customFormat="1" x14ac:dyDescent="0.2">
      <c r="A2" s="141" t="s">
        <v>79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3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3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36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3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36" x14ac:dyDescent="0.2">
      <c r="A23" s="149"/>
      <c r="B23" s="140">
        <v>2019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>
        <v>2020</v>
      </c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2">
        <v>2021</v>
      </c>
      <c r="AA23" s="143"/>
      <c r="AB23" s="143"/>
      <c r="AC23" s="143"/>
      <c r="AD23" s="143"/>
      <c r="AE23" s="143"/>
      <c r="AF23" s="143"/>
      <c r="AG23" s="143"/>
      <c r="AH23" s="143"/>
      <c r="AI23" s="143"/>
      <c r="AJ23" s="144"/>
    </row>
    <row r="24" spans="1:36" x14ac:dyDescent="0.2">
      <c r="A24" s="150"/>
      <c r="B24" s="31" t="s">
        <v>13</v>
      </c>
      <c r="C24" s="31" t="s">
        <v>14</v>
      </c>
      <c r="D24" s="31" t="s">
        <v>15</v>
      </c>
      <c r="E24" s="31" t="s">
        <v>16</v>
      </c>
      <c r="F24" s="31" t="s">
        <v>17</v>
      </c>
      <c r="G24" s="31" t="s">
        <v>18</v>
      </c>
      <c r="H24" s="31" t="s">
        <v>19</v>
      </c>
      <c r="I24" s="31" t="s">
        <v>20</v>
      </c>
      <c r="J24" s="31" t="s">
        <v>21</v>
      </c>
      <c r="K24" s="31" t="s">
        <v>22</v>
      </c>
      <c r="L24" s="31" t="s">
        <v>23</v>
      </c>
      <c r="M24" s="31" t="s">
        <v>24</v>
      </c>
      <c r="N24" s="31" t="s">
        <v>13</v>
      </c>
      <c r="O24" s="31" t="s">
        <v>14</v>
      </c>
      <c r="P24" s="31" t="s">
        <v>15</v>
      </c>
      <c r="Q24" s="31" t="s">
        <v>16</v>
      </c>
      <c r="R24" s="31" t="s">
        <v>17</v>
      </c>
      <c r="S24" s="31" t="s">
        <v>25</v>
      </c>
      <c r="T24" s="31" t="s">
        <v>19</v>
      </c>
      <c r="U24" s="31" t="s">
        <v>26</v>
      </c>
      <c r="V24" s="31" t="s">
        <v>21</v>
      </c>
      <c r="W24" s="31" t="s">
        <v>27</v>
      </c>
      <c r="X24" s="31" t="s">
        <v>23</v>
      </c>
      <c r="Y24" s="31" t="s">
        <v>24</v>
      </c>
      <c r="Z24" s="80" t="s">
        <v>13</v>
      </c>
      <c r="AA24" s="80" t="s">
        <v>14</v>
      </c>
      <c r="AB24" s="81" t="s">
        <v>15</v>
      </c>
      <c r="AC24" s="80" t="s">
        <v>16</v>
      </c>
      <c r="AD24" s="80" t="s">
        <v>17</v>
      </c>
      <c r="AE24" s="80" t="s">
        <v>25</v>
      </c>
      <c r="AF24" s="80" t="s">
        <v>19</v>
      </c>
      <c r="AG24" s="80" t="s">
        <v>26</v>
      </c>
      <c r="AH24" s="100" t="s">
        <v>21</v>
      </c>
      <c r="AI24" s="51" t="s">
        <v>27</v>
      </c>
      <c r="AJ24" s="122" t="s">
        <v>23</v>
      </c>
    </row>
    <row r="25" spans="1:36" ht="27.75" customHeight="1" x14ac:dyDescent="0.2">
      <c r="A25" s="27" t="s">
        <v>73</v>
      </c>
      <c r="B25" s="54">
        <v>71.738158213015794</v>
      </c>
      <c r="C25" s="19">
        <v>123.27227087030982</v>
      </c>
      <c r="D25" s="19">
        <v>116.24365644398502</v>
      </c>
      <c r="E25" s="19">
        <v>96.580225893758936</v>
      </c>
      <c r="F25" s="19">
        <v>93.408604141465986</v>
      </c>
      <c r="G25" s="19">
        <v>92.490171422142794</v>
      </c>
      <c r="H25" s="19">
        <v>112.04816621722891</v>
      </c>
      <c r="I25" s="19">
        <v>93.020207912369386</v>
      </c>
      <c r="J25" s="19">
        <v>108.06099409813686</v>
      </c>
      <c r="K25" s="19">
        <v>104.71321760096355</v>
      </c>
      <c r="L25" s="19">
        <v>95.961007942682357</v>
      </c>
      <c r="M25" s="15">
        <v>107.05149255623367</v>
      </c>
      <c r="N25" s="19">
        <v>70.382208343865415</v>
      </c>
      <c r="O25" s="19">
        <v>127.63158194440297</v>
      </c>
      <c r="P25" s="19">
        <v>103.24095247310265</v>
      </c>
      <c r="Q25" s="19">
        <v>57.064146061655876</v>
      </c>
      <c r="R25" s="19">
        <v>115.32045479750228</v>
      </c>
      <c r="S25" s="19">
        <v>125.55839051166471</v>
      </c>
      <c r="T25" s="19">
        <v>120.09478099934977</v>
      </c>
      <c r="U25" s="19">
        <v>87.312042792465732</v>
      </c>
      <c r="V25" s="19">
        <v>117.22959939467061</v>
      </c>
      <c r="W25" s="19">
        <v>97.096953437578748</v>
      </c>
      <c r="X25" s="19">
        <v>105.93754706899317</v>
      </c>
      <c r="Y25" s="15">
        <v>108.49423751970338</v>
      </c>
      <c r="Z25" s="89">
        <v>70.407885353173725</v>
      </c>
      <c r="AA25" s="22">
        <v>130.56565598353049</v>
      </c>
      <c r="AB25" s="22">
        <v>120.83026196604835</v>
      </c>
      <c r="AC25" s="71">
        <v>89.231037795592442</v>
      </c>
      <c r="AD25" s="22">
        <v>100.2114807539604</v>
      </c>
      <c r="AE25" s="78">
        <v>104.66057637383682</v>
      </c>
      <c r="AF25" s="78">
        <v>95.30942428771003</v>
      </c>
      <c r="AG25" s="78">
        <v>102.30249040432689</v>
      </c>
      <c r="AH25" s="78">
        <v>116.47910704981066</v>
      </c>
      <c r="AI25" s="83">
        <v>96.491276111547222</v>
      </c>
      <c r="AJ25" s="92">
        <v>108.51598620062263</v>
      </c>
    </row>
    <row r="26" spans="1:36" ht="42" customHeight="1" x14ac:dyDescent="0.2">
      <c r="A26" s="28" t="s">
        <v>74</v>
      </c>
      <c r="B26" s="26">
        <f>IF(374257.25828="","-",372548.49281/374257.25828*100)</f>
        <v>99.543424894989869</v>
      </c>
      <c r="C26" s="14">
        <f>IF(427600.8878="","-",459248.98718/427600.8878*100)</f>
        <v>107.40131750961253</v>
      </c>
      <c r="D26" s="14">
        <f>IF(524151.65323="","-",533847.81488/524151.65323*100)</f>
        <v>101.84987714724333</v>
      </c>
      <c r="E26" s="14">
        <f>IF(444601.83252="","-",515591.42554/444601.83252*100)</f>
        <v>115.96700414337735</v>
      </c>
      <c r="F26" s="14">
        <f>IF(505594.98812="","-",481606.75367/505594.98812*100)</f>
        <v>95.255444572503052</v>
      </c>
      <c r="G26" s="14">
        <f>IF(458682.35918="","-",445438.91205/458682.35918*100)</f>
        <v>97.112719321999705</v>
      </c>
      <c r="H26" s="14">
        <f>IF(488041.26888="","-",499106.13257/488041.26888*100)</f>
        <v>102.26719836939048</v>
      </c>
      <c r="I26" s="14">
        <f>IF(480650.77296="","-",464269.56222/480650.77296*100)</f>
        <v>96.591868428897087</v>
      </c>
      <c r="J26" s="14">
        <f>IF(473973.76404="","-",501694.30423/473973.76404*100)</f>
        <v>105.84853894732886</v>
      </c>
      <c r="K26" s="14">
        <f>IF(540614.13985="","-",525340.24848/540614.13985*100)</f>
        <v>97.174714783775727</v>
      </c>
      <c r="L26" s="14">
        <f>IF(522571.0681="","-",504121.79757/522571.0681*100)</f>
        <v>96.469519333115954</v>
      </c>
      <c r="M26" s="16">
        <f>IF(519317.05816="","-",539669.9086/519317.05816*100)</f>
        <v>103.91915692353963</v>
      </c>
      <c r="N26" s="14">
        <f>IF(372548.49281="","-",379831.59944/372548.49281*100)</f>
        <v>101.95494191241148</v>
      </c>
      <c r="O26" s="14">
        <f>IF(459248.98718="","-",484785.07909/459248.98718*100)</f>
        <v>105.56040244460927</v>
      </c>
      <c r="P26" s="14">
        <f>IF(533847.81488="","-",500496.7331/533847.81488*100)</f>
        <v>93.752698643620619</v>
      </c>
      <c r="Q26" s="14">
        <f>IF(515591.42554="","-",285604.18681/515591.42554*100)</f>
        <v>55.393509795256001</v>
      </c>
      <c r="R26" s="14">
        <f>IF(481606.75367="","-",329360.04715/481606.75367*100)</f>
        <v>68.38775508029515</v>
      </c>
      <c r="S26" s="14">
        <f>IF(445438.91205="","-",413539.17419/445438.91205*100)</f>
        <v>92.838583025180498</v>
      </c>
      <c r="T26" s="14">
        <f>IF(499106.13257="","-",496638.96559/499106.13257*100)</f>
        <v>99.505682896081424</v>
      </c>
      <c r="U26" s="14">
        <f>IF(464269.56222="","-",433625.62616/464269.56222*100)</f>
        <v>93.399537993946922</v>
      </c>
      <c r="V26" s="14">
        <f>IF(501694.30423="","-",508337.58442/501694.30423*100)</f>
        <v>101.32416894790069</v>
      </c>
      <c r="W26" s="14">
        <f>IF(525340.24848="","-",493580.30765/525340.24848*100)</f>
        <v>93.954405564414117</v>
      </c>
      <c r="X26" s="14">
        <f>IF(504121.79757="","-",522886.87074/504121.79757*100)</f>
        <v>103.7223292586142</v>
      </c>
      <c r="Y26" s="16">
        <f>IF(539669.9086="","-",567302.1235/539669.9086*100)</f>
        <v>105.12020671519058</v>
      </c>
      <c r="Z26" s="85">
        <f>IF(379831.59944="","-",399368.86107/379831.59944*100)</f>
        <v>105.14366410240868</v>
      </c>
      <c r="AA26" s="72">
        <f>IF(484785.07909="","-",521438.57325/484785.07909*100)</f>
        <v>107.56077192573727</v>
      </c>
      <c r="AB26" s="72">
        <f>IF(500496.7331="","-",630055.59405/500496.7331*100)</f>
        <v>125.88605526903886</v>
      </c>
      <c r="AC26" s="72">
        <f>IF(285604.18681="","-",562205.14526/285604.18681*100)</f>
        <v>196.84765533007069</v>
      </c>
      <c r="AD26" s="72">
        <f>IF(329360.04715="","-",563394.10094/329360.04715*100)</f>
        <v>171.05720800538208</v>
      </c>
      <c r="AE26" s="72">
        <f>IF(413539.17419="","-",589651.5133/413539.17419*100)</f>
        <v>142.58661575531545</v>
      </c>
      <c r="AF26" s="72">
        <f>IF(496638.96559="","-",561993.46263/496638.96559*100)</f>
        <v>113.15935751484174</v>
      </c>
      <c r="AG26" s="72">
        <f>IF(433625.62616="","-",574933.30818/433625.62616*100)</f>
        <v>132.58748410958998</v>
      </c>
      <c r="AH26" s="72">
        <f>IF(508337.58442="","-",669677.1835/508337.58442*100)</f>
        <v>131.73867209997553</v>
      </c>
      <c r="AI26" s="135">
        <f>IF(493580.30765="","-",645913.51573/493580.30765*100)</f>
        <v>130.8629022914788</v>
      </c>
      <c r="AJ26" s="136">
        <f>IF(522886.87074="","-",700919.07898/522886.87074*100)</f>
        <v>134.04794004256507</v>
      </c>
    </row>
    <row r="27" spans="1:36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1"/>
    </row>
    <row r="28" spans="1:36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  <c r="Z28" s="86"/>
      <c r="AA28" s="86"/>
      <c r="AB28" s="87"/>
      <c r="AC28" s="88"/>
      <c r="AD28" s="86"/>
      <c r="AE28" s="79"/>
      <c r="AF28" s="79"/>
      <c r="AG28" s="79"/>
      <c r="AH28" s="79"/>
    </row>
  </sheetData>
  <mergeCells count="5">
    <mergeCell ref="A23:A24"/>
    <mergeCell ref="B23:M23"/>
    <mergeCell ref="N23:Y23"/>
    <mergeCell ref="Z23:AJ23"/>
    <mergeCell ref="A2:M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1"/>
  <sheetViews>
    <sheetView workbookViewId="0">
      <selection activeCell="A2" sqref="A2:E2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s="5" customFormat="1" x14ac:dyDescent="0.2">
      <c r="A2" s="141" t="s">
        <v>100</v>
      </c>
      <c r="B2" s="141"/>
      <c r="C2" s="141"/>
      <c r="D2" s="141"/>
      <c r="E2" s="141"/>
      <c r="F2" s="141"/>
      <c r="G2" s="153"/>
      <c r="H2" s="152"/>
      <c r="I2" s="152"/>
      <c r="J2" s="152"/>
      <c r="K2" s="152"/>
      <c r="L2" s="152"/>
      <c r="M2" s="152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8"/>
      <c r="B22" s="48"/>
      <c r="C22" s="48"/>
      <c r="D22" s="48"/>
      <c r="E22" s="48"/>
      <c r="F22" s="48"/>
      <c r="G22" s="48"/>
    </row>
    <row r="23" spans="1:7" x14ac:dyDescent="0.2">
      <c r="A23" s="48"/>
      <c r="B23" s="48"/>
      <c r="C23" s="48"/>
      <c r="D23" s="48"/>
      <c r="E23" s="48"/>
      <c r="F23" s="48"/>
      <c r="G23" s="48"/>
    </row>
    <row r="24" spans="1:7" ht="24" x14ac:dyDescent="0.2">
      <c r="A24" s="68" t="s">
        <v>28</v>
      </c>
      <c r="B24" s="13" t="s">
        <v>89</v>
      </c>
      <c r="C24" s="13" t="s">
        <v>90</v>
      </c>
      <c r="D24" s="13" t="s">
        <v>91</v>
      </c>
      <c r="E24" s="13" t="s">
        <v>92</v>
      </c>
      <c r="F24" s="13" t="s">
        <v>93</v>
      </c>
      <c r="G24" s="13" t="s">
        <v>94</v>
      </c>
    </row>
    <row r="25" spans="1:7" x14ac:dyDescent="0.2">
      <c r="A25" s="55" t="s">
        <v>29</v>
      </c>
      <c r="B25" s="109">
        <v>3.3</v>
      </c>
      <c r="C25" s="101">
        <v>1.5</v>
      </c>
      <c r="D25" s="101">
        <v>2.1</v>
      </c>
      <c r="E25" s="123">
        <v>2.9</v>
      </c>
      <c r="F25" s="123">
        <v>2.8</v>
      </c>
      <c r="G25" s="124">
        <v>2.7</v>
      </c>
    </row>
    <row r="26" spans="1:7" x14ac:dyDescent="0.2">
      <c r="A26" s="56" t="s">
        <v>30</v>
      </c>
      <c r="B26" s="110">
        <v>4.5999999999999996</v>
      </c>
      <c r="C26" s="94">
        <v>4.5999999999999996</v>
      </c>
      <c r="D26" s="94">
        <v>4.7</v>
      </c>
      <c r="E26" s="114">
        <v>5.9</v>
      </c>
      <c r="F26" s="114">
        <v>5.7</v>
      </c>
      <c r="G26" s="125">
        <v>5.7</v>
      </c>
    </row>
    <row r="27" spans="1:7" x14ac:dyDescent="0.2">
      <c r="A27" s="56" t="s">
        <v>31</v>
      </c>
      <c r="B27" s="110">
        <v>84.3</v>
      </c>
      <c r="C27" s="94">
        <v>87.7</v>
      </c>
      <c r="D27" s="94">
        <v>84.9</v>
      </c>
      <c r="E27" s="114">
        <v>83.1</v>
      </c>
      <c r="F27" s="114">
        <v>83.5</v>
      </c>
      <c r="G27" s="125">
        <v>83.3</v>
      </c>
    </row>
    <row r="28" spans="1:7" x14ac:dyDescent="0.2">
      <c r="A28" s="56" t="s">
        <v>32</v>
      </c>
      <c r="B28" s="110">
        <v>2.4</v>
      </c>
      <c r="C28" s="94">
        <v>2.2999999999999998</v>
      </c>
      <c r="D28" s="94">
        <v>2.7</v>
      </c>
      <c r="E28" s="114">
        <v>2.6</v>
      </c>
      <c r="F28" s="114">
        <v>2.6</v>
      </c>
      <c r="G28" s="125">
        <v>1.9</v>
      </c>
    </row>
    <row r="29" spans="1:7" x14ac:dyDescent="0.2">
      <c r="A29" s="56" t="s">
        <v>59</v>
      </c>
      <c r="B29" s="110">
        <v>0.2</v>
      </c>
      <c r="C29" s="94">
        <v>0.2</v>
      </c>
      <c r="D29" s="94">
        <v>0.2</v>
      </c>
      <c r="E29" s="114">
        <v>0.2</v>
      </c>
      <c r="F29" s="114">
        <v>0.3</v>
      </c>
      <c r="G29" s="125">
        <v>1</v>
      </c>
    </row>
    <row r="30" spans="1:7" x14ac:dyDescent="0.2">
      <c r="A30" s="56" t="s">
        <v>60</v>
      </c>
      <c r="B30" s="110">
        <v>4.5999999999999996</v>
      </c>
      <c r="C30" s="94">
        <v>3.1</v>
      </c>
      <c r="D30" s="94">
        <v>4.7</v>
      </c>
      <c r="E30" s="114">
        <v>4.7</v>
      </c>
      <c r="F30" s="114">
        <v>4.5</v>
      </c>
      <c r="G30" s="125">
        <v>4.7</v>
      </c>
    </row>
    <row r="31" spans="1:7" x14ac:dyDescent="0.2">
      <c r="A31" s="57" t="s">
        <v>61</v>
      </c>
      <c r="B31" s="111">
        <v>0.6</v>
      </c>
      <c r="C31" s="95">
        <v>0.6</v>
      </c>
      <c r="D31" s="95">
        <v>0.7</v>
      </c>
      <c r="E31" s="126">
        <v>0.6</v>
      </c>
      <c r="F31" s="126">
        <v>0.6</v>
      </c>
      <c r="G31" s="127">
        <v>0.7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2022-01-14T06:00:39Z</dcterms:modified>
</cp:coreProperties>
</file>