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Computer\Tabele_Anuale _SAIT_2020\Generale\TABELE_Anuale_EXPORT_IMPORT_2020_Date_Definitive_Rus\"/>
    </mc:Choice>
  </mc:AlternateContent>
  <bookViews>
    <workbookView xWindow="0" yWindow="0" windowWidth="28800" windowHeight="11595"/>
  </bookViews>
  <sheets>
    <sheet name="Sheet1" sheetId="1" r:id="rId1"/>
    <sheet name="Sheet2" sheetId="2" r:id="rId2"/>
    <sheet name="Sheet3" sheetId="3" r:id="rId3"/>
  </sheets>
  <calcPr calcId="152511" iterate="1"/>
</workbook>
</file>

<file path=xl/calcChain.xml><?xml version="1.0" encoding="utf-8"?>
<calcChain xmlns="http://schemas.openxmlformats.org/spreadsheetml/2006/main">
  <c r="Z26" i="1" l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Y26" i="1" l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W26" i="1" l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V26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</calcChain>
</file>

<file path=xl/sharedStrings.xml><?xml version="1.0" encoding="utf-8"?>
<sst xmlns="http://schemas.openxmlformats.org/spreadsheetml/2006/main" count="46" uniqueCount="46">
  <si>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</si>
  <si>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</si>
  <si>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</si>
  <si>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</si>
  <si>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</si>
  <si>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</si>
  <si>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</si>
  <si>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</si>
  <si>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</si>
  <si>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</si>
  <si>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</si>
  <si>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</si>
  <si>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</si>
  <si>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</si>
  <si>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</si>
  <si>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</si>
  <si>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</si>
  <si>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</si>
  <si>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XX.</t>
  </si>
  <si>
    <t>XXI.</t>
  </si>
  <si>
    <t>ИМПОРТ – всего</t>
  </si>
  <si>
    <t xml:space="preserve">Продукты растительного происхождения </t>
  </si>
  <si>
    <t>Жиры и масла животного или растительного происхождения и продукты их расщепления; готовые пищевые жиры; воски животного или растительного происхождения</t>
  </si>
  <si>
    <t>Минеральные продукты</t>
  </si>
  <si>
    <t>Продукция химической и связной с ней отраслей промышленности</t>
  </si>
  <si>
    <t xml:space="preserve">Пластмассы и изделия из них; каучук, резина и изделия из них </t>
  </si>
  <si>
    <t>Текстильные материалы и текстильные изделия</t>
  </si>
  <si>
    <t>Изделия из камня, гипса, цемента, асбеста, слюды или аналогичных материалов; керамические изделия; стекло и изделия из него</t>
  </si>
  <si>
    <t>Жемчуг природный или культивированный, драгоценные или полудрагоценные камни, драгоценные металлы, металлы плакированные драгоценными металлами и изделия из них; бижутерия; монеты</t>
  </si>
  <si>
    <t>Недрагоценные металлы и изделия из них</t>
  </si>
  <si>
    <t>Средства наземного транспорта; летательные аппараты, плавучие средства и относящиеся к транспорту устройства и оборудование</t>
  </si>
  <si>
    <t>Разные промышленные товары</t>
  </si>
  <si>
    <t>Произведения искусства, предметы коллекционирования и антиквариат</t>
  </si>
  <si>
    <r>
      <t xml:space="preserve">  Источник данных: </t>
    </r>
    <r>
      <rPr>
        <sz val="9"/>
        <rFont val="Arial"/>
        <family val="2"/>
        <charset val="204"/>
      </rPr>
      <t>Таможенная Служба</t>
    </r>
    <r>
      <rPr>
        <b/>
        <sz val="9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>(таможенные декларации по экспорту и импорту экономических агентов)</t>
    </r>
  </si>
  <si>
    <t>тысяч долларов США</t>
  </si>
  <si>
    <t>Код КТН</t>
  </si>
  <si>
    <r>
      <t>ИМПОРТ РЕСПУБЛИКИ МОЛДОВА</t>
    </r>
    <r>
      <rPr>
        <b/>
        <vertAlign val="superscript"/>
        <sz val="10"/>
        <rFont val="Arial"/>
        <family val="2"/>
        <charset val="204"/>
      </rPr>
      <t>1)</t>
    </r>
    <r>
      <rPr>
        <b/>
        <sz val="10"/>
        <rFont val="Arial"/>
        <family val="2"/>
        <charset val="204"/>
      </rPr>
      <t>,</t>
    </r>
    <r>
      <rPr>
        <b/>
        <vertAlign val="superscript"/>
        <sz val="10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>В РАЗБИВКЕ ПО РАЗДЕЛАМ, СОГЛАСНО КОМБИНИРОВАННОЙ ТОВАРНОЙ НОМЕНКЛАТУРЫ (КТН)</t>
    </r>
  </si>
  <si>
    <r>
      <t xml:space="preserve"> Примечание:  </t>
    </r>
    <r>
      <rPr>
        <b/>
        <vertAlign val="superscript"/>
        <sz val="10"/>
        <rFont val="Arial"/>
        <family val="2"/>
        <charset val="204"/>
      </rPr>
      <t>1)</t>
    </r>
    <r>
      <rPr>
        <b/>
        <sz val="9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>Информация не включает данные предприятий и организаций левобережья Днестра и муниципия  Бендер</t>
    </r>
  </si>
  <si>
    <t>Живые животные</t>
  </si>
  <si>
    <t>Готовые пищевые продукты; алкогольные и безалкогольные напитки и уксус; переработанный табак и его заменители</t>
  </si>
  <si>
    <t xml:space="preserve">Необработанные шкуры; выделанная кожа; натуральный мех изделия из них шорно-седельные изделия и упряжь; дорожные принадлежности, дамские сумки и аналогичные им товары; изделия из кишок животных (кроме волокна из фиброина и шелкопряда) </t>
  </si>
  <si>
    <t>Древесина и изделия из нее, древесный уголь; пробка и изделия из нее; изделия из соломы, волокна и прочие материалов для плетения; корзиночные и другие плетеные изделия</t>
  </si>
  <si>
    <t>Масса из древесины или из других волокнистых целлюлозных материалов; регенерируемые бумага или картон (макулатура и отходы); бумага, картон и изделия из них</t>
  </si>
  <si>
    <t xml:space="preserve">Обувь, головные уборы, зонты, солнцезащитные зонты, трости, трости-сиденья, хлысты, кнуты и их части; обработанные перья и изделия из них искусственные цветы; изделия из человеческого волоса </t>
  </si>
  <si>
    <t xml:space="preserve">Машины, оборудования и механизмы; электротехническое оборудование; их части; вукозаписывающая и звуковоспроизводящая аппаратура, аппаратура для записи и воспроизведения телевизионного изображения и звука, их части и принадлежности
</t>
  </si>
  <si>
    <t>Инструменты и аппараты оптические, фотографические, кинематографические, измерительные, контрольные, прецизионные, медицинские и хирургические; часы всех видов; музыкальные инструменты; их части и принадлежности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</si>
</sst>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0"/>
      <name val="Arial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vertAlign val="superscript"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DFFCD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Fill="1"/>
    <xf numFmtId="0" fontId="0" fillId="0" borderId="0" xfId="0" applyFill="1"/>
    <xf numFmtId="0" fontId="1" fillId="0" borderId="0" xfId="0" applyFont="1" applyFill="1" applyBorder="1"/>
    <xf numFmtId="0" fontId="0" fillId="0" borderId="0" xfId="0" applyFill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justify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Border="1" applyAlignment="1"/>
    <xf numFmtId="0" fontId="2" fillId="0" borderId="0" xfId="0" applyFont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4" fontId="1" fillId="0" borderId="0" xfId="0" applyNumberFormat="1" applyFont="1" applyFill="1" applyAlignment="1" applyProtection="1">
      <alignment horizontal="right" vertical="top" wrapText="1"/>
    </xf>
    <xf numFmtId="4" fontId="1" fillId="5" borderId="0" xfId="0" applyNumberFormat="1" applyFont="1" applyFill="1" applyAlignment="1" applyProtection="1">
      <alignment horizontal="right" vertical="top" wrapText="1"/>
    </xf>
    <xf numFmtId="4" fontId="1" fillId="5" borderId="4" xfId="0" applyNumberFormat="1" applyFont="1" applyFill="1" applyBorder="1" applyAlignment="1" applyProtection="1">
      <alignment horizontal="right" vertical="top" wrapText="1"/>
    </xf>
    <xf numFmtId="0" fontId="4" fillId="3" borderId="0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left" vertical="top" wrapText="1"/>
    </xf>
    <xf numFmtId="4" fontId="5" fillId="5" borderId="5" xfId="0" applyNumberFormat="1" applyFont="1" applyFill="1" applyBorder="1" applyAlignment="1" applyProtection="1">
      <alignment horizontal="right" vertical="top" wrapText="1"/>
    </xf>
    <xf numFmtId="0" fontId="4" fillId="0" borderId="0" xfId="0" applyFont="1" applyFill="1" applyBorder="1"/>
    <xf numFmtId="164" fontId="5" fillId="3" borderId="0" xfId="0" applyNumberFormat="1" applyFont="1" applyFill="1" applyBorder="1" applyAlignment="1">
      <alignment horizontal="right" vertical="top" wrapText="1"/>
    </xf>
    <xf numFmtId="164" fontId="5" fillId="3" borderId="0" xfId="0" quotePrefix="1" applyNumberFormat="1" applyFont="1" applyFill="1" applyBorder="1" applyAlignment="1">
      <alignment horizontal="right" vertical="top" wrapText="1"/>
    </xf>
    <xf numFmtId="164" fontId="5" fillId="3" borderId="0" xfId="0" applyNumberFormat="1" applyFont="1" applyFill="1" applyAlignment="1">
      <alignment horizontal="right" vertical="top" wrapText="1"/>
    </xf>
    <xf numFmtId="164" fontId="6" fillId="3" borderId="0" xfId="0" applyNumberFormat="1" applyFont="1" applyFill="1" applyAlignment="1">
      <alignment horizontal="right" vertical="top" wrapText="1"/>
    </xf>
    <xf numFmtId="164" fontId="6" fillId="5" borderId="0" xfId="0" applyNumberFormat="1" applyFont="1" applyFill="1" applyAlignment="1">
      <alignment horizontal="right" vertical="top" wrapText="1"/>
    </xf>
    <xf numFmtId="164" fontId="1" fillId="0" borderId="0" xfId="0" applyNumberFormat="1" applyFont="1" applyBorder="1" applyAlignment="1">
      <alignment horizontal="right" vertical="top" wrapText="1"/>
    </xf>
    <xf numFmtId="164" fontId="1" fillId="0" borderId="0" xfId="0" applyNumberFormat="1" applyFont="1" applyAlignment="1">
      <alignment horizontal="right" vertical="top" wrapText="1"/>
    </xf>
    <xf numFmtId="164" fontId="3" fillId="0" borderId="0" xfId="0" applyNumberFormat="1" applyFont="1" applyAlignment="1">
      <alignment horizontal="right" vertical="top" wrapText="1"/>
    </xf>
    <xf numFmtId="164" fontId="1" fillId="3" borderId="0" xfId="0" applyNumberFormat="1" applyFont="1" applyFill="1" applyBorder="1" applyAlignment="1">
      <alignment horizontal="right" vertical="top" wrapText="1"/>
    </xf>
    <xf numFmtId="164" fontId="1" fillId="3" borderId="0" xfId="0" applyNumberFormat="1" applyFont="1" applyFill="1" applyAlignment="1">
      <alignment horizontal="right" vertical="top" wrapText="1"/>
    </xf>
    <xf numFmtId="164" fontId="3" fillId="3" borderId="0" xfId="0" applyNumberFormat="1" applyFont="1" applyFill="1" applyAlignment="1">
      <alignment horizontal="right" vertical="top" wrapText="1"/>
    </xf>
    <xf numFmtId="164" fontId="3" fillId="5" borderId="0" xfId="0" applyNumberFormat="1" applyFont="1" applyFill="1" applyAlignment="1">
      <alignment horizontal="right" vertical="top" wrapText="1"/>
    </xf>
    <xf numFmtId="164" fontId="1" fillId="3" borderId="4" xfId="0" applyNumberFormat="1" applyFont="1" applyFill="1" applyBorder="1" applyAlignment="1">
      <alignment horizontal="right" vertical="top" wrapText="1"/>
    </xf>
    <xf numFmtId="164" fontId="3" fillId="3" borderId="4" xfId="0" applyNumberFormat="1" applyFont="1" applyFill="1" applyBorder="1" applyAlignment="1">
      <alignment horizontal="right" vertical="top" wrapText="1"/>
    </xf>
    <xf numFmtId="164" fontId="3" fillId="5" borderId="4" xfId="0" applyNumberFormat="1" applyFont="1" applyFill="1" applyBorder="1" applyAlignment="1">
      <alignment horizontal="right" vertical="top" wrapText="1"/>
    </xf>
    <xf numFmtId="0" fontId="1" fillId="0" borderId="0" xfId="0" applyNumberFormat="1" applyFont="1" applyFill="1" applyAlignment="1" applyProtection="1"/>
    <xf numFmtId="4" fontId="5" fillId="6" borderId="5" xfId="0" applyNumberFormat="1" applyFont="1" applyFill="1" applyBorder="1" applyAlignment="1" applyProtection="1">
      <alignment horizontal="right" vertical="top"/>
    </xf>
    <xf numFmtId="4" fontId="1" fillId="0" borderId="0" xfId="0" applyNumberFormat="1" applyFont="1" applyFill="1" applyAlignment="1" applyProtection="1">
      <alignment horizontal="right" vertical="top"/>
    </xf>
    <xf numFmtId="4" fontId="1" fillId="6" borderId="0" xfId="0" applyNumberFormat="1" applyFont="1" applyFill="1" applyAlignment="1" applyProtection="1">
      <alignment horizontal="right" vertical="top"/>
    </xf>
    <xf numFmtId="4" fontId="1" fillId="6" borderId="4" xfId="0" applyNumberFormat="1" applyFont="1" applyFill="1" applyBorder="1" applyAlignment="1" applyProtection="1">
      <alignment horizontal="right" vertical="top"/>
    </xf>
    <xf numFmtId="4" fontId="5" fillId="6" borderId="5" xfId="0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>
      <alignment horizontal="right" vertical="justify"/>
    </xf>
    <xf numFmtId="0" fontId="2" fillId="0" borderId="0" xfId="0" applyFont="1" applyFill="1" applyBorder="1"/>
    <xf numFmtId="165" fontId="1" fillId="0" borderId="0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Fill="1" applyAlignment="1">
      <alignment horizontal="left" vertical="top"/>
    </xf>
    <xf numFmtId="0" fontId="1" fillId="5" borderId="0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8"/>
  <sheetViews>
    <sheetView tabSelected="1" workbookViewId="0">
      <pane xSplit="2" ySplit="5" topLeftCell="L18" activePane="bottomRight" state="frozen"/>
      <selection pane="topRight" activeCell="C1" sqref="C1"/>
      <selection pane="bottomLeft" activeCell="A6" sqref="A6"/>
      <selection pane="bottomRight" activeCell="B7" sqref="B7"/>
    </sheetView>
  </sheetViews>
  <sheetFormatPr defaultColWidth="9.140625" defaultRowHeight="12.75" x14ac:dyDescent="0.2"/>
  <cols>
    <col min="1" max="1" width="8.7109375" style="1" customWidth="1"/>
    <col min="2" max="2" width="44.42578125" style="6" customWidth="1"/>
    <col min="3" max="13" width="10.5703125" style="1" customWidth="1"/>
    <col min="14" max="18" width="10.5703125" style="2" customWidth="1"/>
    <col min="19" max="20" width="10.85546875" style="2" customWidth="1"/>
    <col min="21" max="21" width="11.28515625" style="2" customWidth="1"/>
    <col min="22" max="22" width="12.42578125" style="2" customWidth="1"/>
    <col min="23" max="23" width="12.140625" style="2" customWidth="1"/>
    <col min="24" max="24" width="12.5703125" style="2" customWidth="1"/>
    <col min="25" max="25" width="12.28515625" style="2" customWidth="1"/>
    <col min="26" max="26" width="11.7109375" style="2" customWidth="1"/>
    <col min="27" max="36" width="9.140625" style="2"/>
    <col min="37" max="16384" width="9.140625" style="3"/>
  </cols>
  <sheetData>
    <row r="1" spans="1:36" x14ac:dyDescent="0.2">
      <c r="B1" s="1"/>
      <c r="AG1" s="3"/>
      <c r="AH1" s="3"/>
      <c r="AI1" s="3"/>
      <c r="AJ1" s="3"/>
    </row>
    <row r="2" spans="1:36" s="5" customFormat="1" ht="14.25" x14ac:dyDescent="0.2">
      <c r="A2" s="52" t="s">
        <v>36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4"/>
      <c r="AB2" s="4"/>
      <c r="AC2" s="4"/>
      <c r="AD2" s="4"/>
      <c r="AE2" s="4"/>
      <c r="AF2" s="4"/>
    </row>
    <row r="3" spans="1:36" s="5" customForma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6" s="5" customFormat="1" ht="13.5" thickBot="1" x14ac:dyDescent="0.25">
      <c r="A4" s="7"/>
      <c r="B4" s="6"/>
      <c r="C4" s="6"/>
      <c r="D4" s="6"/>
      <c r="E4" s="6"/>
      <c r="F4" s="6"/>
      <c r="G4" s="6"/>
      <c r="H4" s="6"/>
      <c r="I4" s="6"/>
      <c r="J4" s="6"/>
      <c r="K4" s="6"/>
      <c r="M4" s="16"/>
      <c r="N4" s="16"/>
      <c r="O4" s="16"/>
      <c r="R4" s="53" t="s">
        <v>34</v>
      </c>
      <c r="S4" s="53"/>
      <c r="T4" s="53"/>
      <c r="U4" s="53"/>
      <c r="V4" s="53"/>
      <c r="W4" s="53"/>
      <c r="X4" s="53"/>
      <c r="Y4" s="53"/>
      <c r="Z4" s="53"/>
      <c r="AA4" s="4"/>
      <c r="AB4" s="4"/>
      <c r="AC4" s="4"/>
      <c r="AD4" s="4"/>
      <c r="AE4" s="4"/>
      <c r="AF4" s="4"/>
    </row>
    <row r="5" spans="1:36" s="10" customFormat="1" ht="16.5" customHeight="1" thickBot="1" x14ac:dyDescent="0.25">
      <c r="A5" s="11" t="s">
        <v>35</v>
      </c>
      <c r="B5" s="11"/>
      <c r="C5" s="12">
        <v>1997</v>
      </c>
      <c r="D5" s="11">
        <v>1998</v>
      </c>
      <c r="E5" s="11">
        <v>1999</v>
      </c>
      <c r="F5" s="11">
        <v>2000</v>
      </c>
      <c r="G5" s="11">
        <v>2001</v>
      </c>
      <c r="H5" s="11">
        <v>2002</v>
      </c>
      <c r="I5" s="11">
        <v>2003</v>
      </c>
      <c r="J5" s="11">
        <v>2004</v>
      </c>
      <c r="K5" s="11">
        <v>2005</v>
      </c>
      <c r="L5" s="13">
        <v>2006</v>
      </c>
      <c r="M5" s="14">
        <v>2007</v>
      </c>
      <c r="N5" s="15">
        <v>2008</v>
      </c>
      <c r="O5" s="15">
        <v>2009</v>
      </c>
      <c r="P5" s="15">
        <v>2010</v>
      </c>
      <c r="Q5" s="15">
        <v>2011</v>
      </c>
      <c r="R5" s="15">
        <v>2012</v>
      </c>
      <c r="S5" s="15">
        <v>2013</v>
      </c>
      <c r="T5" s="15">
        <v>2014</v>
      </c>
      <c r="U5" s="15">
        <v>2015</v>
      </c>
      <c r="V5" s="15">
        <v>2016</v>
      </c>
      <c r="W5" s="15">
        <v>2017</v>
      </c>
      <c r="X5" s="15">
        <v>2018</v>
      </c>
      <c r="Y5" s="15">
        <v>2019</v>
      </c>
      <c r="Z5" s="15">
        <v>2020</v>
      </c>
      <c r="AA5" s="9"/>
      <c r="AB5" s="9"/>
      <c r="AC5" s="9"/>
    </row>
    <row r="6" spans="1:36" s="27" customFormat="1" x14ac:dyDescent="0.2">
      <c r="A6" s="24"/>
      <c r="B6" s="25" t="s">
        <v>20</v>
      </c>
      <c r="C6" s="28">
        <v>1171251.8</v>
      </c>
      <c r="D6" s="28">
        <v>1023575.4</v>
      </c>
      <c r="E6" s="28">
        <v>586368</v>
      </c>
      <c r="F6" s="28">
        <v>776416</v>
      </c>
      <c r="G6" s="28">
        <v>892228.4</v>
      </c>
      <c r="H6" s="28">
        <v>1038000.2</v>
      </c>
      <c r="I6" s="28">
        <v>1402347.1</v>
      </c>
      <c r="J6" s="28">
        <v>1768533.9</v>
      </c>
      <c r="K6" s="28">
        <v>2292291.6</v>
      </c>
      <c r="L6" s="28">
        <v>2693183.7</v>
      </c>
      <c r="M6" s="29">
        <v>3689524.4</v>
      </c>
      <c r="N6" s="30">
        <v>4898762</v>
      </c>
      <c r="O6" s="30">
        <v>3278269.8</v>
      </c>
      <c r="P6" s="28">
        <v>3855288.6</v>
      </c>
      <c r="Q6" s="31">
        <v>5191270.5999999996</v>
      </c>
      <c r="R6" s="31">
        <v>5212928.3</v>
      </c>
      <c r="S6" s="31">
        <v>5492393.0999999996</v>
      </c>
      <c r="T6" s="31">
        <v>5316958.9000000004</v>
      </c>
      <c r="U6" s="32">
        <v>3986820.3</v>
      </c>
      <c r="V6" s="26">
        <f>IF(4020356.96103=0,"-",4020356.96103)</f>
        <v>4020356.9610299999</v>
      </c>
      <c r="W6" s="26">
        <f>IF(4831335.29052="","-",4831335.29052)</f>
        <v>4831335.2905200003</v>
      </c>
      <c r="X6" s="26">
        <v>5760057.05112</v>
      </c>
      <c r="Y6" s="44">
        <f>IF(5842484.3398="","-",5842484.3398)</f>
        <v>5842484.3398000002</v>
      </c>
      <c r="Z6" s="48">
        <f>IF(5415988.29784=0,"-",5415988.29784)</f>
        <v>5415988.2978400001</v>
      </c>
    </row>
    <row r="7" spans="1:36" s="5" customFormat="1" x14ac:dyDescent="0.2">
      <c r="A7" s="17" t="s">
        <v>0</v>
      </c>
      <c r="B7" s="20" t="s">
        <v>38</v>
      </c>
      <c r="C7" s="33">
        <v>22090.1</v>
      </c>
      <c r="D7" s="33">
        <v>17294.099999999999</v>
      </c>
      <c r="E7" s="33">
        <v>6493.3</v>
      </c>
      <c r="F7" s="33">
        <v>10744.5</v>
      </c>
      <c r="G7" s="33">
        <v>23779.1</v>
      </c>
      <c r="H7" s="33">
        <v>23857.4</v>
      </c>
      <c r="I7" s="33">
        <v>24827.9</v>
      </c>
      <c r="J7" s="33">
        <v>38771.4</v>
      </c>
      <c r="K7" s="33">
        <v>57194.1</v>
      </c>
      <c r="L7" s="33">
        <v>51930.6</v>
      </c>
      <c r="M7" s="33">
        <v>61663.3</v>
      </c>
      <c r="N7" s="34">
        <v>100329.5</v>
      </c>
      <c r="O7" s="34">
        <v>75281.899999999994</v>
      </c>
      <c r="P7" s="34">
        <v>94747.3</v>
      </c>
      <c r="Q7" s="35">
        <v>107833.4</v>
      </c>
      <c r="R7" s="35">
        <v>130319.9</v>
      </c>
      <c r="S7" s="35">
        <v>146800.20000000001</v>
      </c>
      <c r="T7" s="35">
        <v>158759.9</v>
      </c>
      <c r="U7" s="35">
        <v>99937.9</v>
      </c>
      <c r="V7" s="21">
        <f>IF(106835.96892=0,"-",106835.96892)</f>
        <v>106835.96892</v>
      </c>
      <c r="W7" s="21">
        <f>IF(131353.34327="","-",131353.34327)</f>
        <v>131353.34327000001</v>
      </c>
      <c r="X7" s="21">
        <v>143809.79232000001</v>
      </c>
      <c r="Y7" s="45">
        <f>IF(166168.69579="","-",166168.69579)</f>
        <v>166168.69579</v>
      </c>
      <c r="Z7" s="45">
        <f>IF(172331.01512=0,"-",172331.01512)</f>
        <v>172331.01512</v>
      </c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s="5" customFormat="1" x14ac:dyDescent="0.2">
      <c r="A8" s="18" t="s">
        <v>1</v>
      </c>
      <c r="B8" s="55" t="s">
        <v>21</v>
      </c>
      <c r="C8" s="36">
        <v>37287.300000000003</v>
      </c>
      <c r="D8" s="36">
        <v>16450.3</v>
      </c>
      <c r="E8" s="36">
        <v>11140.7</v>
      </c>
      <c r="F8" s="36">
        <v>25345.5</v>
      </c>
      <c r="G8" s="36">
        <v>37642.300000000003</v>
      </c>
      <c r="H8" s="36">
        <v>43466.9</v>
      </c>
      <c r="I8" s="36">
        <v>82274.8</v>
      </c>
      <c r="J8" s="36">
        <v>73532.899999999994</v>
      </c>
      <c r="K8" s="36">
        <v>65022.9</v>
      </c>
      <c r="L8" s="36">
        <v>72756.899999999994</v>
      </c>
      <c r="M8" s="36">
        <v>150371.9</v>
      </c>
      <c r="N8" s="37">
        <v>166757.29999999999</v>
      </c>
      <c r="O8" s="37">
        <v>132558.79999999999</v>
      </c>
      <c r="P8" s="37">
        <v>168869.7</v>
      </c>
      <c r="Q8" s="38">
        <v>199086.6</v>
      </c>
      <c r="R8" s="38">
        <v>204596.8</v>
      </c>
      <c r="S8" s="38">
        <v>203516.6</v>
      </c>
      <c r="T8" s="38">
        <v>195401.7</v>
      </c>
      <c r="U8" s="39">
        <v>194167</v>
      </c>
      <c r="V8" s="22">
        <f>IF(171623.57931=0,"-",171623.57931)</f>
        <v>171623.57931</v>
      </c>
      <c r="W8" s="22">
        <f>IF(195281.51843="","-",195281.51843)</f>
        <v>195281.51843</v>
      </c>
      <c r="X8" s="22">
        <v>256449.65166999999</v>
      </c>
      <c r="Y8" s="46">
        <f>IF(260642.73369="","-",260642.73369)</f>
        <v>260642.73368999999</v>
      </c>
      <c r="Z8" s="46">
        <f>IF(285607.08272=0,"-",285607.08272)</f>
        <v>285607.08272000001</v>
      </c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s="5" customFormat="1" ht="48" x14ac:dyDescent="0.2">
      <c r="A9" s="17" t="s">
        <v>2</v>
      </c>
      <c r="B9" s="20" t="s">
        <v>22</v>
      </c>
      <c r="C9" s="33">
        <v>4446.3999999999996</v>
      </c>
      <c r="D9" s="33">
        <v>3076.6</v>
      </c>
      <c r="E9" s="33">
        <v>2008.9</v>
      </c>
      <c r="F9" s="33">
        <v>2410.1</v>
      </c>
      <c r="G9" s="33">
        <v>3010.8</v>
      </c>
      <c r="H9" s="33">
        <v>7065.7</v>
      </c>
      <c r="I9" s="33">
        <v>5500.8</v>
      </c>
      <c r="J9" s="33">
        <v>7427.1</v>
      </c>
      <c r="K9" s="33">
        <v>9885.9</v>
      </c>
      <c r="L9" s="33">
        <v>11130.6</v>
      </c>
      <c r="M9" s="33">
        <v>16012.9</v>
      </c>
      <c r="N9" s="34">
        <v>20883.5</v>
      </c>
      <c r="O9" s="34">
        <v>16057.1</v>
      </c>
      <c r="P9" s="34">
        <v>19292.099999999999</v>
      </c>
      <c r="Q9" s="35">
        <v>25059.200000000001</v>
      </c>
      <c r="R9" s="35">
        <v>28376.6</v>
      </c>
      <c r="S9" s="35">
        <v>30017.200000000001</v>
      </c>
      <c r="T9" s="35">
        <v>25579.4</v>
      </c>
      <c r="U9" s="35">
        <v>20289.099999999999</v>
      </c>
      <c r="V9" s="21">
        <f>IF(24408.00362=0,"-",24408.00362)</f>
        <v>24408.00362</v>
      </c>
      <c r="W9" s="21">
        <f>IF(25735.05986="","-",25735.05986)</f>
        <v>25735.059860000001</v>
      </c>
      <c r="X9" s="21">
        <v>20716.381150000001</v>
      </c>
      <c r="Y9" s="45">
        <f>IF(19747.37605="","-",19747.37605)</f>
        <v>19747.376049999999</v>
      </c>
      <c r="Z9" s="45">
        <f>IF(21471.23464=0,"-",21471.23464)</f>
        <v>21471.234639999999</v>
      </c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s="5" customFormat="1" ht="36" x14ac:dyDescent="0.2">
      <c r="A10" s="18" t="s">
        <v>3</v>
      </c>
      <c r="B10" s="55" t="s">
        <v>39</v>
      </c>
      <c r="C10" s="36">
        <v>88410.9</v>
      </c>
      <c r="D10" s="36">
        <v>56645.7</v>
      </c>
      <c r="E10" s="36">
        <v>18378.3</v>
      </c>
      <c r="F10" s="36">
        <v>71233.899999999994</v>
      </c>
      <c r="G10" s="36">
        <v>78865.899999999994</v>
      </c>
      <c r="H10" s="36">
        <v>72634.899999999994</v>
      </c>
      <c r="I10" s="36">
        <v>91986</v>
      </c>
      <c r="J10" s="36">
        <v>105264.4</v>
      </c>
      <c r="K10" s="36">
        <v>147472.1</v>
      </c>
      <c r="L10" s="36">
        <v>179793.8</v>
      </c>
      <c r="M10" s="36">
        <v>237866.2</v>
      </c>
      <c r="N10" s="37">
        <v>343420.2</v>
      </c>
      <c r="O10" s="37">
        <v>289685.2</v>
      </c>
      <c r="P10" s="37">
        <v>308613.09999999998</v>
      </c>
      <c r="Q10" s="38">
        <v>355805.4</v>
      </c>
      <c r="R10" s="38">
        <v>380046.4</v>
      </c>
      <c r="S10" s="38">
        <v>403461.6</v>
      </c>
      <c r="T10" s="38">
        <v>339584.6</v>
      </c>
      <c r="U10" s="39">
        <v>272182.3</v>
      </c>
      <c r="V10" s="22">
        <f>IF(305180.98995=0,"-",305180.98995)</f>
        <v>305180.98995000002</v>
      </c>
      <c r="W10" s="22">
        <f>IF(352836.94206="","-",352836.94206)</f>
        <v>352836.94205999997</v>
      </c>
      <c r="X10" s="22">
        <v>353336.56847</v>
      </c>
      <c r="Y10" s="46">
        <f>IF(369340.33723="","-",369340.33723)</f>
        <v>369340.33723</v>
      </c>
      <c r="Z10" s="46">
        <f>IF(366663.81112=0,"-",366663.81112)</f>
        <v>366663.81112000003</v>
      </c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s="5" customFormat="1" x14ac:dyDescent="0.2">
      <c r="A11" s="17" t="s">
        <v>4</v>
      </c>
      <c r="B11" s="20" t="s">
        <v>23</v>
      </c>
      <c r="C11" s="33">
        <v>413959.2</v>
      </c>
      <c r="D11" s="33">
        <v>325001.5</v>
      </c>
      <c r="E11" s="33">
        <v>232051.3</v>
      </c>
      <c r="F11" s="33">
        <v>256054</v>
      </c>
      <c r="G11" s="33">
        <v>242582.3</v>
      </c>
      <c r="H11" s="33">
        <v>237073.2</v>
      </c>
      <c r="I11" s="33">
        <v>297719.3</v>
      </c>
      <c r="J11" s="33">
        <v>384870.6</v>
      </c>
      <c r="K11" s="33">
        <v>504674.6</v>
      </c>
      <c r="L11" s="33">
        <v>663725.30000000005</v>
      </c>
      <c r="M11" s="33">
        <v>788429.5</v>
      </c>
      <c r="N11" s="34">
        <v>1126001.5</v>
      </c>
      <c r="O11" s="34">
        <v>718187.5</v>
      </c>
      <c r="P11" s="34">
        <v>807085</v>
      </c>
      <c r="Q11" s="35">
        <v>1179627.8999999999</v>
      </c>
      <c r="R11" s="35">
        <v>1217570.1000000001</v>
      </c>
      <c r="S11" s="35">
        <v>1256728.8</v>
      </c>
      <c r="T11" s="35">
        <v>1153816.3999999999</v>
      </c>
      <c r="U11" s="35">
        <v>733687.6</v>
      </c>
      <c r="V11" s="21">
        <f>IF(630156.34086=0,"-",630156.34086)</f>
        <v>630156.34086</v>
      </c>
      <c r="W11" s="21">
        <f>IF(774172.77719="","-",774172.77719)</f>
        <v>774172.77719000005</v>
      </c>
      <c r="X11" s="21">
        <v>1008040.91587</v>
      </c>
      <c r="Y11" s="45">
        <f>IF(940425.53975="","-",940425.53975)</f>
        <v>940425.53975</v>
      </c>
      <c r="Z11" s="45">
        <f>IF(613605.63549=0,"-",613605.63549)</f>
        <v>613605.63549000002</v>
      </c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s="5" customFormat="1" ht="24" x14ac:dyDescent="0.2">
      <c r="A12" s="18" t="s">
        <v>5</v>
      </c>
      <c r="B12" s="55" t="s">
        <v>24</v>
      </c>
      <c r="C12" s="36">
        <v>112756.2</v>
      </c>
      <c r="D12" s="36">
        <v>92798.6</v>
      </c>
      <c r="E12" s="36">
        <v>45786.400000000001</v>
      </c>
      <c r="F12" s="36">
        <v>74886.3</v>
      </c>
      <c r="G12" s="36">
        <v>80398.7</v>
      </c>
      <c r="H12" s="36">
        <v>115831.3</v>
      </c>
      <c r="I12" s="36">
        <v>132660.29999999999</v>
      </c>
      <c r="J12" s="36">
        <v>161805.6</v>
      </c>
      <c r="K12" s="36">
        <v>232280.3</v>
      </c>
      <c r="L12" s="36">
        <v>223273</v>
      </c>
      <c r="M12" s="36">
        <v>317676.09999999998</v>
      </c>
      <c r="N12" s="37">
        <v>416750.5</v>
      </c>
      <c r="O12" s="37">
        <v>365945.8</v>
      </c>
      <c r="P12" s="37">
        <v>404334.5</v>
      </c>
      <c r="Q12" s="38">
        <v>529742.4</v>
      </c>
      <c r="R12" s="38">
        <v>558154.80000000005</v>
      </c>
      <c r="S12" s="38">
        <v>627002.80000000005</v>
      </c>
      <c r="T12" s="38">
        <v>624446.4</v>
      </c>
      <c r="U12" s="39">
        <v>495857</v>
      </c>
      <c r="V12" s="22">
        <f>IF(502632.60171=0,"-",502632.60171)</f>
        <v>502632.60171000002</v>
      </c>
      <c r="W12" s="22">
        <f>IF(572913.67769="","-",572913.67769)</f>
        <v>572913.67769000004</v>
      </c>
      <c r="X12" s="22">
        <v>648369.10918000003</v>
      </c>
      <c r="Y12" s="46">
        <f>IF(686504.04953="","-",686504.04953)</f>
        <v>686504.04952999996</v>
      </c>
      <c r="Z12" s="46">
        <f>IF(654972.11329=0,"-",654972.11329)</f>
        <v>654972.11329000001</v>
      </c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s="5" customFormat="1" ht="24" x14ac:dyDescent="0.2">
      <c r="A13" s="17" t="s">
        <v>6</v>
      </c>
      <c r="B13" s="20" t="s">
        <v>25</v>
      </c>
      <c r="C13" s="33">
        <v>36573.800000000003</v>
      </c>
      <c r="D13" s="33">
        <v>33152.699999999997</v>
      </c>
      <c r="E13" s="33">
        <v>20139.7</v>
      </c>
      <c r="F13" s="33">
        <v>23767</v>
      </c>
      <c r="G13" s="33">
        <v>34181.4</v>
      </c>
      <c r="H13" s="33">
        <v>49329.9</v>
      </c>
      <c r="I13" s="33">
        <v>69306.600000000006</v>
      </c>
      <c r="J13" s="33">
        <v>101108.4</v>
      </c>
      <c r="K13" s="33">
        <v>139734.39999999999</v>
      </c>
      <c r="L13" s="33">
        <v>168532.2</v>
      </c>
      <c r="M13" s="33">
        <v>224934</v>
      </c>
      <c r="N13" s="34">
        <v>276790</v>
      </c>
      <c r="O13" s="34">
        <v>186543.6</v>
      </c>
      <c r="P13" s="34">
        <v>227670.7</v>
      </c>
      <c r="Q13" s="35">
        <v>304083.59999999998</v>
      </c>
      <c r="R13" s="35">
        <v>304162.8</v>
      </c>
      <c r="S13" s="35">
        <v>320607.2</v>
      </c>
      <c r="T13" s="35">
        <v>328443.09999999998</v>
      </c>
      <c r="U13" s="35">
        <v>254048.4</v>
      </c>
      <c r="V13" s="21">
        <f>IF(257765.75409=0,"-",257765.75409)</f>
        <v>257765.75409</v>
      </c>
      <c r="W13" s="21">
        <f>IF(292159.33163="","-",292159.33163)</f>
        <v>292159.33162999997</v>
      </c>
      <c r="X13" s="21">
        <v>345162.12809999997</v>
      </c>
      <c r="Y13" s="45">
        <f>IF(351254.63453="","-",351254.63453)</f>
        <v>351254.63452999998</v>
      </c>
      <c r="Z13" s="45">
        <f>IF(353394.49046=0,"-",353394.49046)</f>
        <v>353394.49046</v>
      </c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6" s="5" customFormat="1" ht="72" x14ac:dyDescent="0.2">
      <c r="A14" s="18" t="s">
        <v>7</v>
      </c>
      <c r="B14" s="55" t="s">
        <v>40</v>
      </c>
      <c r="C14" s="36">
        <v>3077.3</v>
      </c>
      <c r="D14" s="36">
        <v>2203.4</v>
      </c>
      <c r="E14" s="36">
        <v>2618.1</v>
      </c>
      <c r="F14" s="36">
        <v>2458.1999999999998</v>
      </c>
      <c r="G14" s="36">
        <v>3818.9</v>
      </c>
      <c r="H14" s="36">
        <v>16230.1</v>
      </c>
      <c r="I14" s="36">
        <v>36308.800000000003</v>
      </c>
      <c r="J14" s="36">
        <v>72516.100000000006</v>
      </c>
      <c r="K14" s="36">
        <v>69589.600000000006</v>
      </c>
      <c r="L14" s="36">
        <v>22803.7</v>
      </c>
      <c r="M14" s="36">
        <v>27497</v>
      </c>
      <c r="N14" s="37">
        <v>33183.300000000003</v>
      </c>
      <c r="O14" s="37">
        <v>26289.200000000001</v>
      </c>
      <c r="P14" s="37">
        <v>27427.4</v>
      </c>
      <c r="Q14" s="38">
        <v>35668.699999999997</v>
      </c>
      <c r="R14" s="38">
        <v>30602</v>
      </c>
      <c r="S14" s="38">
        <v>34213.699999999997</v>
      </c>
      <c r="T14" s="38">
        <v>42930.1</v>
      </c>
      <c r="U14" s="39">
        <v>38078</v>
      </c>
      <c r="V14" s="22">
        <f>IF(48390.06329=0,"-",48390.06329)</f>
        <v>48390.063289999998</v>
      </c>
      <c r="W14" s="22">
        <f>IF(64588.03935="","-",64588.03935)</f>
        <v>64588.039349999999</v>
      </c>
      <c r="X14" s="22">
        <v>68944.281650000004</v>
      </c>
      <c r="Y14" s="46">
        <f>IF(68489.42109="","-",68489.42109)</f>
        <v>68489.421090000003</v>
      </c>
      <c r="Z14" s="46">
        <f>IF(59651.69763=0,"-",59651.69763)</f>
        <v>59651.697630000002</v>
      </c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36" s="5" customFormat="1" ht="48" x14ac:dyDescent="0.2">
      <c r="A15" s="17" t="s">
        <v>8</v>
      </c>
      <c r="B15" s="20" t="s">
        <v>41</v>
      </c>
      <c r="C15" s="33">
        <v>19692.3</v>
      </c>
      <c r="D15" s="33">
        <v>15261.1</v>
      </c>
      <c r="E15" s="33">
        <v>6028.2</v>
      </c>
      <c r="F15" s="33">
        <v>9941.7999999999993</v>
      </c>
      <c r="G15" s="33">
        <v>13443.3</v>
      </c>
      <c r="H15" s="33">
        <v>16139.5</v>
      </c>
      <c r="I15" s="33">
        <v>22952.9</v>
      </c>
      <c r="J15" s="33">
        <v>33989.300000000003</v>
      </c>
      <c r="K15" s="33">
        <v>43624.3</v>
      </c>
      <c r="L15" s="33">
        <v>52079.6</v>
      </c>
      <c r="M15" s="33">
        <v>67661.2</v>
      </c>
      <c r="N15" s="34">
        <v>89315.3</v>
      </c>
      <c r="O15" s="34">
        <v>64830.6</v>
      </c>
      <c r="P15" s="34">
        <v>73004.800000000003</v>
      </c>
      <c r="Q15" s="35">
        <v>88781.2</v>
      </c>
      <c r="R15" s="35">
        <v>92623</v>
      </c>
      <c r="S15" s="35">
        <v>97000.2</v>
      </c>
      <c r="T15" s="35">
        <v>102484.6</v>
      </c>
      <c r="U15" s="35">
        <v>84301.6</v>
      </c>
      <c r="V15" s="21">
        <f>IF(85227.21665=0,"-",85227.21665)</f>
        <v>85227.216650000002</v>
      </c>
      <c r="W15" s="21">
        <f>IF(105799.36995="","-",105799.36995)</f>
        <v>105799.36994999999</v>
      </c>
      <c r="X15" s="21">
        <v>123740.73561</v>
      </c>
      <c r="Y15" s="45">
        <f>IF(130526.7511="","-",130526.7511)</f>
        <v>130526.75109999999</v>
      </c>
      <c r="Z15" s="45">
        <f>IF(130613.17468=0,"-",130613.17468)</f>
        <v>130613.17468</v>
      </c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s="5" customFormat="1" ht="48" x14ac:dyDescent="0.2">
      <c r="A16" s="18" t="s">
        <v>9</v>
      </c>
      <c r="B16" s="55" t="s">
        <v>42</v>
      </c>
      <c r="C16" s="36">
        <v>48268.7</v>
      </c>
      <c r="D16" s="36">
        <v>46541.8</v>
      </c>
      <c r="E16" s="36">
        <v>21482.799999999999</v>
      </c>
      <c r="F16" s="36">
        <v>27782.400000000001</v>
      </c>
      <c r="G16" s="36">
        <v>34457.9</v>
      </c>
      <c r="H16" s="36">
        <v>44404.800000000003</v>
      </c>
      <c r="I16" s="36">
        <v>56376.6</v>
      </c>
      <c r="J16" s="36">
        <v>63418.3</v>
      </c>
      <c r="K16" s="36">
        <v>82258.3</v>
      </c>
      <c r="L16" s="36">
        <v>75528.899999999994</v>
      </c>
      <c r="M16" s="36">
        <v>101428.8</v>
      </c>
      <c r="N16" s="37">
        <v>117210.3</v>
      </c>
      <c r="O16" s="37">
        <v>87934.399999999994</v>
      </c>
      <c r="P16" s="37">
        <v>102712.8</v>
      </c>
      <c r="Q16" s="38">
        <v>132469</v>
      </c>
      <c r="R16" s="38">
        <v>121126.1</v>
      </c>
      <c r="S16" s="38">
        <v>125404</v>
      </c>
      <c r="T16" s="38">
        <v>121018.8</v>
      </c>
      <c r="U16" s="39">
        <v>74988.2</v>
      </c>
      <c r="V16" s="22">
        <f>IF(78486.91861=0,"-",78486.91861)</f>
        <v>78486.918609999993</v>
      </c>
      <c r="W16" s="22">
        <f>IF(87980.68117="","-",87980.68117)</f>
        <v>87980.681169999996</v>
      </c>
      <c r="X16" s="22">
        <v>100992.72870000001</v>
      </c>
      <c r="Y16" s="46">
        <f>IF(108176.17416="","-",108176.17416)</f>
        <v>108176.17416</v>
      </c>
      <c r="Z16" s="46">
        <f>IF(100830.61031=0,"-",100830.61031)</f>
        <v>100830.61031</v>
      </c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9" s="5" customFormat="1" x14ac:dyDescent="0.2">
      <c r="A17" s="17" t="s">
        <v>10</v>
      </c>
      <c r="B17" s="20" t="s">
        <v>26</v>
      </c>
      <c r="C17" s="33">
        <v>61648.2</v>
      </c>
      <c r="D17" s="33">
        <v>62946</v>
      </c>
      <c r="E17" s="33">
        <v>66383.8</v>
      </c>
      <c r="F17" s="33">
        <v>77473.399999999994</v>
      </c>
      <c r="G17" s="33">
        <v>92064.7</v>
      </c>
      <c r="H17" s="33">
        <v>100569.60000000001</v>
      </c>
      <c r="I17" s="33">
        <v>118419.5</v>
      </c>
      <c r="J17" s="33">
        <v>150571.70000000001</v>
      </c>
      <c r="K17" s="33">
        <v>179859.4</v>
      </c>
      <c r="L17" s="33">
        <v>206524.2</v>
      </c>
      <c r="M17" s="33">
        <v>249594.7</v>
      </c>
      <c r="N17" s="34">
        <v>285435.7</v>
      </c>
      <c r="O17" s="34">
        <v>244393.7</v>
      </c>
      <c r="P17" s="34">
        <v>282337.2</v>
      </c>
      <c r="Q17" s="35">
        <v>383499</v>
      </c>
      <c r="R17" s="35">
        <v>384769.1</v>
      </c>
      <c r="S17" s="35">
        <v>386909.3</v>
      </c>
      <c r="T17" s="35">
        <v>356990.5</v>
      </c>
      <c r="U17" s="35">
        <v>285913.7</v>
      </c>
      <c r="V17" s="21">
        <f>IF(345640.18484=0,"-",345640.18484)</f>
        <v>345640.18484</v>
      </c>
      <c r="W17" s="21">
        <f>IF(398307.56286="","-",398307.56286)</f>
        <v>398307.56286000001</v>
      </c>
      <c r="X17" s="21">
        <v>426228.82944</v>
      </c>
      <c r="Y17" s="45">
        <f>IF(402572.92124="","-",402572.92124)</f>
        <v>402572.92124</v>
      </c>
      <c r="Z17" s="45">
        <f>IF(382140.65643=0,"-",382140.65643)</f>
        <v>382140.65642999997</v>
      </c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9" s="5" customFormat="1" ht="60" x14ac:dyDescent="0.2">
      <c r="A18" s="18" t="s">
        <v>11</v>
      </c>
      <c r="B18" s="55" t="s">
        <v>43</v>
      </c>
      <c r="C18" s="36">
        <v>3663.6</v>
      </c>
      <c r="D18" s="36">
        <v>3022.9</v>
      </c>
      <c r="E18" s="36">
        <v>2324</v>
      </c>
      <c r="F18" s="36">
        <v>2413.1</v>
      </c>
      <c r="G18" s="36">
        <v>4452.5</v>
      </c>
      <c r="H18" s="36">
        <v>4530.8999999999996</v>
      </c>
      <c r="I18" s="36">
        <v>7048.7</v>
      </c>
      <c r="J18" s="36">
        <v>10023.5</v>
      </c>
      <c r="K18" s="36">
        <v>12201.3</v>
      </c>
      <c r="L18" s="36">
        <v>17883.8</v>
      </c>
      <c r="M18" s="36">
        <v>21379.4</v>
      </c>
      <c r="N18" s="37">
        <v>30888.6</v>
      </c>
      <c r="O18" s="37">
        <v>22205.8</v>
      </c>
      <c r="P18" s="37">
        <v>22185.7</v>
      </c>
      <c r="Q18" s="38">
        <v>35461.9</v>
      </c>
      <c r="R18" s="38">
        <v>33583</v>
      </c>
      <c r="S18" s="38">
        <v>34001.1</v>
      </c>
      <c r="T18" s="38">
        <v>30227.4</v>
      </c>
      <c r="U18" s="39">
        <v>18827.599999999999</v>
      </c>
      <c r="V18" s="22">
        <f>IF(27320.20684=0,"-",27320.20684)</f>
        <v>27320.206839999999</v>
      </c>
      <c r="W18" s="22">
        <f>IF(43942.54133="","-",43942.54133)</f>
        <v>43942.54133</v>
      </c>
      <c r="X18" s="22">
        <v>44633.668680000002</v>
      </c>
      <c r="Y18" s="46">
        <f>IF(49798.20049="","-",49798.20049)</f>
        <v>49798.200490000003</v>
      </c>
      <c r="Z18" s="46">
        <f>IF(43861.05367=0,"-",43861.05367)</f>
        <v>43861.053670000001</v>
      </c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9" s="5" customFormat="1" ht="36" x14ac:dyDescent="0.2">
      <c r="A19" s="17" t="s">
        <v>12</v>
      </c>
      <c r="B19" s="20" t="s">
        <v>27</v>
      </c>
      <c r="C19" s="33">
        <v>46158.7</v>
      </c>
      <c r="D19" s="33">
        <v>34667.599999999999</v>
      </c>
      <c r="E19" s="33">
        <v>13382.2</v>
      </c>
      <c r="F19" s="33">
        <v>16662.2</v>
      </c>
      <c r="G19" s="33">
        <v>31987.599999999999</v>
      </c>
      <c r="H19" s="33">
        <v>30713.1</v>
      </c>
      <c r="I19" s="33">
        <v>52724.3</v>
      </c>
      <c r="J19" s="33">
        <v>64363.9</v>
      </c>
      <c r="K19" s="33">
        <v>67289.5</v>
      </c>
      <c r="L19" s="33">
        <v>79924.7</v>
      </c>
      <c r="M19" s="33">
        <v>102158.9</v>
      </c>
      <c r="N19" s="34">
        <v>138713.79999999999</v>
      </c>
      <c r="O19" s="34">
        <v>86565.8</v>
      </c>
      <c r="P19" s="34">
        <v>98716.9</v>
      </c>
      <c r="Q19" s="35">
        <v>129818.5</v>
      </c>
      <c r="R19" s="35">
        <v>129181.8</v>
      </c>
      <c r="S19" s="35">
        <v>140557</v>
      </c>
      <c r="T19" s="35">
        <v>134315.79999999999</v>
      </c>
      <c r="U19" s="35">
        <v>101829.5</v>
      </c>
      <c r="V19" s="21">
        <f>IF(103715.59848=0,"-",103715.59848)</f>
        <v>103715.59848</v>
      </c>
      <c r="W19" s="21">
        <f>IF(122547.04395="","-",122547.04395)</f>
        <v>122547.04395000001</v>
      </c>
      <c r="X19" s="21">
        <v>136661.11984</v>
      </c>
      <c r="Y19" s="45">
        <f>IF(141422.26874="","-",141422.26874)</f>
        <v>141422.26874</v>
      </c>
      <c r="Z19" s="45">
        <f>IF(144840.24062=0,"-",144840.24062)</f>
        <v>144840.24062</v>
      </c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9" s="5" customFormat="1" ht="60" x14ac:dyDescent="0.2">
      <c r="A20" s="18" t="s">
        <v>13</v>
      </c>
      <c r="B20" s="55" t="s">
        <v>28</v>
      </c>
      <c r="C20" s="36">
        <v>2028</v>
      </c>
      <c r="D20" s="36">
        <v>1290.3</v>
      </c>
      <c r="E20" s="36">
        <v>1107</v>
      </c>
      <c r="F20" s="36">
        <v>1446.3</v>
      </c>
      <c r="G20" s="36">
        <v>1152.7</v>
      </c>
      <c r="H20" s="36">
        <v>2075.4</v>
      </c>
      <c r="I20" s="36">
        <v>2884.7</v>
      </c>
      <c r="J20" s="36">
        <v>3730.7</v>
      </c>
      <c r="K20" s="36">
        <v>6435.6</v>
      </c>
      <c r="L20" s="36">
        <v>6403.2</v>
      </c>
      <c r="M20" s="36">
        <v>8827.9</v>
      </c>
      <c r="N20" s="37">
        <v>10859</v>
      </c>
      <c r="O20" s="37">
        <v>8023.7</v>
      </c>
      <c r="P20" s="37">
        <v>6064.9</v>
      </c>
      <c r="Q20" s="38">
        <v>10272.4</v>
      </c>
      <c r="R20" s="38">
        <v>8838.2999999999993</v>
      </c>
      <c r="S20" s="38">
        <v>9213.5</v>
      </c>
      <c r="T20" s="38">
        <v>9032.4</v>
      </c>
      <c r="U20" s="39">
        <v>7319.6</v>
      </c>
      <c r="V20" s="22">
        <f>IF(7374.51328=0,"-",7374.51328)</f>
        <v>7374.5132800000001</v>
      </c>
      <c r="W20" s="22">
        <f>IF(8851.03801="","-",8851.03801)</f>
        <v>8851.0380100000002</v>
      </c>
      <c r="X20" s="22">
        <v>10459.99381</v>
      </c>
      <c r="Y20" s="46">
        <f>IF(13210.22768="","-",13210.22768)</f>
        <v>13210.22768</v>
      </c>
      <c r="Z20" s="46">
        <f>IF(10491.1459=0,"-",10491.1459)</f>
        <v>10491.1459</v>
      </c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9" s="5" customFormat="1" x14ac:dyDescent="0.2">
      <c r="A21" s="17" t="s">
        <v>14</v>
      </c>
      <c r="B21" s="20" t="s">
        <v>29</v>
      </c>
      <c r="C21" s="33">
        <v>51805.4</v>
      </c>
      <c r="D21" s="33">
        <v>41305.699999999997</v>
      </c>
      <c r="E21" s="33">
        <v>24953.200000000001</v>
      </c>
      <c r="F21" s="33">
        <v>31594.400000000001</v>
      </c>
      <c r="G21" s="33">
        <v>37652.800000000003</v>
      </c>
      <c r="H21" s="33">
        <v>48963.3</v>
      </c>
      <c r="I21" s="33">
        <v>70251.600000000006</v>
      </c>
      <c r="J21" s="33">
        <v>111898.9</v>
      </c>
      <c r="K21" s="33">
        <v>160600.5</v>
      </c>
      <c r="L21" s="33">
        <v>219417.3</v>
      </c>
      <c r="M21" s="33">
        <v>336691.3</v>
      </c>
      <c r="N21" s="34">
        <v>372513</v>
      </c>
      <c r="O21" s="34">
        <v>183753.8</v>
      </c>
      <c r="P21" s="34">
        <v>242389</v>
      </c>
      <c r="Q21" s="35">
        <v>312450.8</v>
      </c>
      <c r="R21" s="35">
        <v>284383.90000000002</v>
      </c>
      <c r="S21" s="35">
        <v>322091.2</v>
      </c>
      <c r="T21" s="35">
        <v>345894.7</v>
      </c>
      <c r="U21" s="35">
        <v>285922.59999999998</v>
      </c>
      <c r="V21" s="21">
        <f>IF(273964.87203=0,"-",273964.87203)</f>
        <v>273964.87203000003</v>
      </c>
      <c r="W21" s="21">
        <f>IF(343901.45635="","-",343901.45635)</f>
        <v>343901.45634999999</v>
      </c>
      <c r="X21" s="21">
        <v>418695.54765000002</v>
      </c>
      <c r="Y21" s="45">
        <f>IF(420085.66417="","-",420085.66417)</f>
        <v>420085.66417</v>
      </c>
      <c r="Z21" s="45">
        <f>IF(381999.92353=0,"-",381999.92353)</f>
        <v>381999.92352999997</v>
      </c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9" s="5" customFormat="1" ht="75" customHeight="1" x14ac:dyDescent="0.2">
      <c r="A22" s="18" t="s">
        <v>15</v>
      </c>
      <c r="B22" s="55" t="s">
        <v>44</v>
      </c>
      <c r="C22" s="36">
        <v>150670.9</v>
      </c>
      <c r="D22" s="36">
        <v>195501.4</v>
      </c>
      <c r="E22" s="36">
        <v>69253.100000000006</v>
      </c>
      <c r="F22" s="36">
        <v>98580.1</v>
      </c>
      <c r="G22" s="36">
        <v>123898.4</v>
      </c>
      <c r="H22" s="36">
        <v>146322.6</v>
      </c>
      <c r="I22" s="36">
        <v>213984</v>
      </c>
      <c r="J22" s="36">
        <v>239715</v>
      </c>
      <c r="K22" s="36">
        <v>312994.90000000002</v>
      </c>
      <c r="L22" s="36">
        <v>379810.2</v>
      </c>
      <c r="M22" s="36">
        <v>544625.9</v>
      </c>
      <c r="N22" s="37">
        <v>765520.6</v>
      </c>
      <c r="O22" s="37">
        <v>467495.6</v>
      </c>
      <c r="P22" s="37">
        <v>576462.1</v>
      </c>
      <c r="Q22" s="38">
        <v>827918.7</v>
      </c>
      <c r="R22" s="38">
        <v>786397.1</v>
      </c>
      <c r="S22" s="38">
        <v>839729.1</v>
      </c>
      <c r="T22" s="38">
        <v>801201.8</v>
      </c>
      <c r="U22" s="39">
        <v>630831.30000000005</v>
      </c>
      <c r="V22" s="22">
        <f>IF(643230.02282=0,"-",643230.02282)</f>
        <v>643230.02281999995</v>
      </c>
      <c r="W22" s="22">
        <f>IF(801207.9395="","-",801207.9395)</f>
        <v>801207.93949999998</v>
      </c>
      <c r="X22" s="22">
        <v>1021785.83766</v>
      </c>
      <c r="Y22" s="46">
        <f>IF(1054899.82425="","-",1054899.82425)</f>
        <v>1054899.8242500001</v>
      </c>
      <c r="Z22" s="46">
        <f>IF(1049430.95618=0,"-",1049430.95618)</f>
        <v>1049430.95618</v>
      </c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9" s="5" customFormat="1" ht="36" x14ac:dyDescent="0.2">
      <c r="A23" s="17" t="s">
        <v>16</v>
      </c>
      <c r="B23" s="20" t="s">
        <v>30</v>
      </c>
      <c r="C23" s="33">
        <v>34959.800000000003</v>
      </c>
      <c r="D23" s="33">
        <v>46634.7</v>
      </c>
      <c r="E23" s="33">
        <v>12198.3</v>
      </c>
      <c r="F23" s="33">
        <v>15472.3</v>
      </c>
      <c r="G23" s="33">
        <v>21825.1</v>
      </c>
      <c r="H23" s="33">
        <v>50725</v>
      </c>
      <c r="I23" s="33">
        <v>75230.100000000006</v>
      </c>
      <c r="J23" s="33">
        <v>95950</v>
      </c>
      <c r="K23" s="33">
        <v>130335.8</v>
      </c>
      <c r="L23" s="33">
        <v>162403.9</v>
      </c>
      <c r="M23" s="33">
        <v>286087</v>
      </c>
      <c r="N23" s="34">
        <v>390591.2</v>
      </c>
      <c r="O23" s="34">
        <v>157331.20000000001</v>
      </c>
      <c r="P23" s="34">
        <v>237940.1</v>
      </c>
      <c r="Q23" s="35">
        <v>332594.5</v>
      </c>
      <c r="R23" s="35">
        <v>304792.40000000002</v>
      </c>
      <c r="S23" s="35">
        <v>300384.09999999998</v>
      </c>
      <c r="T23" s="35">
        <v>329691</v>
      </c>
      <c r="U23" s="35">
        <v>191907.20000000001</v>
      </c>
      <c r="V23" s="21">
        <f>IF(232371.99165=0,"-",232371.99165)</f>
        <v>232371.99165000001</v>
      </c>
      <c r="W23" s="21">
        <f>IF(294642.35276="","-",294642.35276)</f>
        <v>294642.35275999998</v>
      </c>
      <c r="X23" s="21">
        <v>371573.61332</v>
      </c>
      <c r="Y23" s="45">
        <f>IF(392290.02615="","-",392290.02615)</f>
        <v>392290.02614999999</v>
      </c>
      <c r="Z23" s="45">
        <f>IF(384638.76798=0,"-",384638.76798)</f>
        <v>384638.76798</v>
      </c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9" s="5" customFormat="1" ht="72" x14ac:dyDescent="0.2">
      <c r="A24" s="18" t="s">
        <v>17</v>
      </c>
      <c r="B24" s="55" t="s">
        <v>45</v>
      </c>
      <c r="C24" s="36">
        <v>20296.599999999999</v>
      </c>
      <c r="D24" s="36">
        <v>16610</v>
      </c>
      <c r="E24" s="36">
        <v>22538.799999999999</v>
      </c>
      <c r="F24" s="36">
        <v>19171.099999999999</v>
      </c>
      <c r="G24" s="36">
        <v>15524.2</v>
      </c>
      <c r="H24" s="36">
        <v>14874.4</v>
      </c>
      <c r="I24" s="36">
        <v>22691.3</v>
      </c>
      <c r="J24" s="36">
        <v>20863.900000000001</v>
      </c>
      <c r="K24" s="36">
        <v>26991.4</v>
      </c>
      <c r="L24" s="36">
        <v>33506</v>
      </c>
      <c r="M24" s="36">
        <v>51805.3</v>
      </c>
      <c r="N24" s="37">
        <v>74625.5</v>
      </c>
      <c r="O24" s="37">
        <v>56083.4</v>
      </c>
      <c r="P24" s="37">
        <v>53933.4</v>
      </c>
      <c r="Q24" s="38">
        <v>73999.100000000006</v>
      </c>
      <c r="R24" s="38">
        <v>80216.2</v>
      </c>
      <c r="S24" s="38">
        <v>82871.5</v>
      </c>
      <c r="T24" s="38">
        <v>95573.5</v>
      </c>
      <c r="U24" s="39">
        <v>79544.899999999994</v>
      </c>
      <c r="V24" s="22">
        <f>IF(56766.45405=0,"-",56766.45405)</f>
        <v>56766.45405</v>
      </c>
      <c r="W24" s="22">
        <f>IF(76003.04635="","-",76003.04635)</f>
        <v>76003.046350000004</v>
      </c>
      <c r="X24" s="22">
        <v>99892.305070000002</v>
      </c>
      <c r="Y24" s="46">
        <f>IF(98238.27934="","-",98238.27934)</f>
        <v>98238.279339999994</v>
      </c>
      <c r="Z24" s="46">
        <f>IF(97704.63819=0,"-",97704.63819)</f>
        <v>97704.638189999998</v>
      </c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9" s="5" customFormat="1" x14ac:dyDescent="0.2">
      <c r="A25" s="17" t="s">
        <v>18</v>
      </c>
      <c r="B25" s="20" t="s">
        <v>31</v>
      </c>
      <c r="C25" s="33">
        <v>13453</v>
      </c>
      <c r="D25" s="33">
        <v>13167.6</v>
      </c>
      <c r="E25" s="33">
        <v>8092.2</v>
      </c>
      <c r="F25" s="33">
        <v>8975.2999999999993</v>
      </c>
      <c r="G25" s="33">
        <v>11481.4</v>
      </c>
      <c r="H25" s="33">
        <v>13179.9</v>
      </c>
      <c r="I25" s="33">
        <v>19180.5</v>
      </c>
      <c r="J25" s="33">
        <v>28688.9</v>
      </c>
      <c r="K25" s="33">
        <v>43835.5</v>
      </c>
      <c r="L25" s="33">
        <v>65748.100000000006</v>
      </c>
      <c r="M25" s="33">
        <v>94808.9</v>
      </c>
      <c r="N25" s="34">
        <v>138937</v>
      </c>
      <c r="O25" s="34">
        <v>88950</v>
      </c>
      <c r="P25" s="34">
        <v>101463.5</v>
      </c>
      <c r="Q25" s="35">
        <v>126994.9</v>
      </c>
      <c r="R25" s="35">
        <v>133137.9</v>
      </c>
      <c r="S25" s="35">
        <v>131472.4</v>
      </c>
      <c r="T25" s="35">
        <v>121542.9</v>
      </c>
      <c r="U25" s="35">
        <v>112827.5</v>
      </c>
      <c r="V25" s="21">
        <v>115174.23</v>
      </c>
      <c r="W25" s="21">
        <v>137968.5</v>
      </c>
      <c r="X25" s="21">
        <v>159051.82487000001</v>
      </c>
      <c r="Y25" s="45">
        <v>167833.16466000001</v>
      </c>
      <c r="Z25" s="45">
        <f>IF(160929.27352=0,"-",160929.27352)</f>
        <v>160929.27351999999</v>
      </c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9" s="5" customFormat="1" ht="24.75" thickBot="1" x14ac:dyDescent="0.25">
      <c r="A26" s="19" t="s">
        <v>19</v>
      </c>
      <c r="B26" s="56" t="s">
        <v>32</v>
      </c>
      <c r="C26" s="40">
        <v>5.4</v>
      </c>
      <c r="D26" s="40">
        <v>3.4</v>
      </c>
      <c r="E26" s="40">
        <v>7.7</v>
      </c>
      <c r="F26" s="40">
        <v>4.0999999999999996</v>
      </c>
      <c r="G26" s="40">
        <v>8.4</v>
      </c>
      <c r="H26" s="40">
        <v>12.3</v>
      </c>
      <c r="I26" s="40">
        <v>18.399999999999999</v>
      </c>
      <c r="J26" s="40">
        <v>23.3</v>
      </c>
      <c r="K26" s="40">
        <v>11.2</v>
      </c>
      <c r="L26" s="40">
        <v>7.7</v>
      </c>
      <c r="M26" s="40">
        <v>4.2</v>
      </c>
      <c r="N26" s="40">
        <v>36.200000000000003</v>
      </c>
      <c r="O26" s="40">
        <v>152.69999999999999</v>
      </c>
      <c r="P26" s="40">
        <v>38.4</v>
      </c>
      <c r="Q26" s="41">
        <v>103.4</v>
      </c>
      <c r="R26" s="41">
        <v>50.1</v>
      </c>
      <c r="S26" s="41">
        <v>411.6</v>
      </c>
      <c r="T26" s="41">
        <v>23.9</v>
      </c>
      <c r="U26" s="42">
        <v>4359.3</v>
      </c>
      <c r="V26" s="23">
        <f>IF(4091.45306=0,"-",4091.45306)</f>
        <v>4091.4530599999998</v>
      </c>
      <c r="W26" s="23">
        <f>IF(1143.07311=0,"-",1143.07311)</f>
        <v>1143.07311</v>
      </c>
      <c r="X26" s="23">
        <v>1512.0180600000001</v>
      </c>
      <c r="Y26" s="47">
        <f>IF(858.05016="","-",858.05016)</f>
        <v>858.05016000000001</v>
      </c>
      <c r="Z26" s="47">
        <f>IF(810.77636=0,"-",810.77636)</f>
        <v>810.77635999999995</v>
      </c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9" s="5" customFormat="1" x14ac:dyDescent="0.2">
      <c r="A27" s="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4"/>
      <c r="O27" s="1"/>
      <c r="P27" s="4"/>
      <c r="Q27" s="4"/>
      <c r="R27" s="4"/>
      <c r="S27" s="4"/>
      <c r="T27" s="4"/>
      <c r="U27" s="4"/>
      <c r="V27" s="4"/>
      <c r="W27" s="4"/>
      <c r="X27" s="4"/>
      <c r="Y27" s="43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9" s="5" customFormat="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9" s="5" customFormat="1" ht="14.25" x14ac:dyDescent="0.2">
      <c r="A29" s="54" t="s">
        <v>37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2"/>
      <c r="M29" s="2"/>
      <c r="N29" s="2"/>
      <c r="O29" s="2"/>
      <c r="P29" s="2"/>
      <c r="X29" s="49"/>
    </row>
    <row r="30" spans="1:39" s="5" customForma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1:39" s="5" customFormat="1" x14ac:dyDescent="0.2">
      <c r="A31" s="50" t="s">
        <v>33</v>
      </c>
      <c r="B31" s="4"/>
      <c r="C31" s="4"/>
      <c r="D31" s="4"/>
      <c r="E31" s="4"/>
      <c r="F31" s="4"/>
      <c r="G31" s="4"/>
      <c r="H31" s="51"/>
      <c r="I31" s="51"/>
      <c r="J31" s="51"/>
      <c r="K31" s="51"/>
      <c r="L31" s="51"/>
      <c r="M31" s="4"/>
      <c r="N31" s="4"/>
    </row>
    <row r="32" spans="1:39" s="5" customFormat="1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spans="1:36" s="5" customFormat="1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1:36" s="5" customFormat="1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1:36" s="5" customFormat="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spans="1:36" s="5" customForma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1:36" s="5" customFormat="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1:36" s="5" customFormat="1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spans="1:36" s="5" customFormat="1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spans="1:36" s="5" customFormat="1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spans="1:36" s="5" customFormat="1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spans="1:36" s="5" customFormat="1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spans="1:36" s="5" customFormat="1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spans="1:36" s="5" customFormat="1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</row>
    <row r="45" spans="1:36" s="5" customFormat="1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spans="1:36" s="5" customFormat="1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</row>
    <row r="47" spans="1:36" s="5" customFormat="1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36" s="5" customFormat="1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spans="1:36" s="5" customFormat="1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1:36" s="5" customFormat="1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spans="1:36" s="5" customFormat="1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</row>
    <row r="52" spans="1:36" s="5" customFormat="1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spans="1:36" s="5" customFormat="1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spans="1:36" s="5" customFormat="1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1:36" s="5" customFormat="1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spans="1:36" s="5" customFormat="1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1:36" s="5" customFormat="1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1:36" s="5" customFormat="1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</row>
  </sheetData>
  <protectedRanges>
    <protectedRange sqref="A30:Q30" name="Диапазон1_4"/>
  </protectedRanges>
  <mergeCells count="3">
    <mergeCell ref="A2:Z2"/>
    <mergeCell ref="R4:Z4"/>
    <mergeCell ref="A29:K29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Zavadco</dc:creator>
  <cp:lastModifiedBy>Galina Ciobanu</cp:lastModifiedBy>
  <dcterms:created xsi:type="dcterms:W3CDTF">1996-10-14T23:33:28Z</dcterms:created>
  <dcterms:modified xsi:type="dcterms:W3CDTF">2021-07-30T08:14:57Z</dcterms:modified>
</cp:coreProperties>
</file>